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0365" activeTab="0"/>
  </bookViews>
  <sheets>
    <sheet name="Tổng hợp" sheetId="1" r:id="rId1"/>
    <sheet name="Sheet2" sheetId="2" state="hidden" r:id="rId2"/>
    <sheet name="Sheet3" sheetId="3" state="hidden" r:id="rId3"/>
    <sheet name="Lương đầu năm" sheetId="4" state="hidden" r:id="rId4"/>
    <sheet name="Chi tiết" sheetId="5" state="hidden" r:id="rId5"/>
    <sheet name="Sheet1" sheetId="6" state="hidden" r:id="rId6"/>
    <sheet name="Sheet4" sheetId="7" state="hidden" r:id="rId7"/>
    <sheet name="Sheet5" sheetId="8" state="hidden" r:id="rId8"/>
    <sheet name="Sheet6" sheetId="9" state="hidden" r:id="rId9"/>
  </sheets>
  <externalReferences>
    <externalReference r:id="rId12"/>
    <externalReference r:id="rId13"/>
  </externalReferences>
  <definedNames>
    <definedName name="_xlnm.Print_Area" localSheetId="3">'Lương đầu năm'!$A$1:$Z$201</definedName>
    <definedName name="_xlnm.Print_Area" localSheetId="0">'Tổng hợp'!$A$1:$O$52</definedName>
    <definedName name="_xlnm.Print_Titles" localSheetId="0">'Tổng hợp'!$4:$5</definedName>
  </definedNames>
  <calcPr fullCalcOnLoad="1"/>
</workbook>
</file>

<file path=xl/sharedStrings.xml><?xml version="1.0" encoding="utf-8"?>
<sst xmlns="http://schemas.openxmlformats.org/spreadsheetml/2006/main" count="1134" uniqueCount="593">
  <si>
    <t>STT</t>
  </si>
  <si>
    <t>Đơn vị</t>
  </si>
  <si>
    <t>Kinh phí cấp đầu năm</t>
  </si>
  <si>
    <t>Ghi chú</t>
  </si>
  <si>
    <t>I</t>
  </si>
  <si>
    <t>Kinh phí còn lại</t>
  </si>
  <si>
    <t>Hội Nông dân</t>
  </si>
  <si>
    <t>II</t>
  </si>
  <si>
    <t>III</t>
  </si>
  <si>
    <t>Sự nghiệp phát thanh</t>
  </si>
  <si>
    <t>Sự nghiệp kinh tế</t>
  </si>
  <si>
    <t>Kinh phí bổ sung (+), thu hồi (-)</t>
  </si>
  <si>
    <t>Trong đó</t>
  </si>
  <si>
    <t>Kinh phí điều chỉnh</t>
  </si>
  <si>
    <t>Điều chỉnh tăng</t>
  </si>
  <si>
    <t>Điều chỉnh giảm</t>
  </si>
  <si>
    <t>Tổng cộng</t>
  </si>
  <si>
    <t>Trần Minh Luân</t>
  </si>
  <si>
    <t>Nguyễn Tuấn Toàn</t>
  </si>
  <si>
    <t>Đông Văn Sơn</t>
  </si>
  <si>
    <t>Phùng Ngọc Chiến</t>
  </si>
  <si>
    <t>Trần Phú Lợi</t>
  </si>
  <si>
    <t>Nguyễn Hữu Luân</t>
  </si>
  <si>
    <t>Lê Văn Trung</t>
  </si>
  <si>
    <t>Nguyễn Quang Thọ</t>
  </si>
  <si>
    <t>Trần Văn Chiến</t>
  </si>
  <si>
    <t>Đào Anh Tuấn</t>
  </si>
  <si>
    <t>Y Giang Ly</t>
  </si>
  <si>
    <t>Trần Việt Dũng</t>
  </si>
  <si>
    <t xml:space="preserve">Pờ Ly Hảo 
</t>
  </si>
  <si>
    <t>Rơ Chăm Luy</t>
  </si>
  <si>
    <t>Nguyễn Thanh Tuấn</t>
  </si>
  <si>
    <t>Nguyễn Văn Cường</t>
  </si>
  <si>
    <t>Hồ Thị Đào</t>
  </si>
  <si>
    <t>Lương Văn Thám</t>
  </si>
  <si>
    <t>Nguyễn Tiến Dũng</t>
  </si>
  <si>
    <t>A Khiên</t>
  </si>
  <si>
    <t xml:space="preserve">Bùi Văn Nhàng
</t>
  </si>
  <si>
    <t>Trần Nam Bộ</t>
  </si>
  <si>
    <t>Nguyễn Mạch</t>
  </si>
  <si>
    <t>Trần Xuân Đi</t>
  </si>
  <si>
    <t>Nguyễn Đình Thúy</t>
  </si>
  <si>
    <t>NgỤY Đình Phúc</t>
  </si>
  <si>
    <t>Võ Anh Tuấn</t>
  </si>
  <si>
    <t>Huyện ủy</t>
  </si>
  <si>
    <t>Phụ cấp trách nhiệm cấp ủy</t>
  </si>
  <si>
    <t>Bùi Thị Thanh Huệ</t>
  </si>
  <si>
    <t>Đinh Thị Hà</t>
  </si>
  <si>
    <t>Hà Thị Sen</t>
  </si>
  <si>
    <t>Ngô Văn Hải</t>
  </si>
  <si>
    <t>Đỗ Thanh Nam</t>
  </si>
  <si>
    <t>Huỳnh Ngọc Hưng</t>
  </si>
  <si>
    <t>Lương Viết Tú</t>
  </si>
  <si>
    <t>Hồ Đắc Thụy Xuân Hương</t>
  </si>
  <si>
    <t>Đinh Văn Định</t>
  </si>
  <si>
    <t>Duy Mạnh Hùng</t>
  </si>
  <si>
    <t>Lý Văn Hải</t>
  </si>
  <si>
    <t>Nguyễn Thị Hồng Lan</t>
  </si>
  <si>
    <t>Trần Qúy Phương</t>
  </si>
  <si>
    <t xml:space="preserve">Nguyễn Tiến Dũng </t>
  </si>
  <si>
    <t xml:space="preserve">Nguyễn Văn Lộc </t>
  </si>
  <si>
    <t>Nguyễn Hoài Nam</t>
  </si>
  <si>
    <t>Ngô Văn Thuy</t>
  </si>
  <si>
    <t>Văn phòng HĐND-UBND</t>
  </si>
  <si>
    <t>Cấp huyện</t>
  </si>
  <si>
    <t>Kinh phí Đại biểu HĐND các cấp</t>
  </si>
  <si>
    <t>Nguyễn Tất Thắng</t>
  </si>
  <si>
    <t>Hội Cựu chiến binh</t>
  </si>
  <si>
    <t>9.2.2.5</t>
  </si>
  <si>
    <t>Hoàng Thị Thanh Hiền</t>
  </si>
  <si>
    <t>Huyện đoàn</t>
  </si>
  <si>
    <t>9.2.2.4</t>
  </si>
  <si>
    <t>01 BC</t>
  </si>
  <si>
    <t>Hội nông dân</t>
  </si>
  <si>
    <t>9.2.2.3</t>
  </si>
  <si>
    <t>Biên chế</t>
  </si>
  <si>
    <t>Hội liên hiệp phụ nữ</t>
  </si>
  <si>
    <t>9.2.2.2</t>
  </si>
  <si>
    <t>Nguyễn Xuân Thái</t>
  </si>
  <si>
    <t>Trần Thị Loan</t>
  </si>
  <si>
    <t>Rô Man Duyên</t>
  </si>
  <si>
    <t>Po Ly Hao</t>
  </si>
  <si>
    <t>Uỷ ban MTTQ VN</t>
  </si>
  <si>
    <t>9.2.2.1</t>
  </si>
  <si>
    <t>Đoàn thể</t>
  </si>
  <si>
    <t>9.2.2</t>
  </si>
  <si>
    <t>Uông Hữu Thỉnh</t>
  </si>
  <si>
    <t>Phu cấp cấp ủy viên</t>
  </si>
  <si>
    <t>*</t>
  </si>
  <si>
    <t>6 bc</t>
  </si>
  <si>
    <t>Hoàng Thị Thùy Linh</t>
  </si>
  <si>
    <t>Lê Xuân Tiến</t>
  </si>
  <si>
    <t>Mai Thị Hoàng Vân</t>
  </si>
  <si>
    <t>Nguyễn Thị Kim Huệ</t>
  </si>
  <si>
    <t>Cao Thị Thúy</t>
  </si>
  <si>
    <t>Vũ Mạnh Đạt</t>
  </si>
  <si>
    <t>Đoàn Xuân Tùng</t>
  </si>
  <si>
    <t>Lê Đại Lợi</t>
  </si>
  <si>
    <t>Nguyễn Ngọc Trùng Dương</t>
  </si>
  <si>
    <t>Nguyễn Thị Hồng Vân</t>
  </si>
  <si>
    <t>Đặng Chí Bảo</t>
  </si>
  <si>
    <t>Nguyễn Ngọc Quang</t>
  </si>
  <si>
    <t>Hà Ngọc Khanh</t>
  </si>
  <si>
    <t>Rơ Châm Luy</t>
  </si>
  <si>
    <t>Dương Thị Mộng Thu</t>
  </si>
  <si>
    <t>Nguyễn Thế Hằng</t>
  </si>
  <si>
    <t>Nguyễn Vĩnh Thịnh</t>
  </si>
  <si>
    <t>Phạm Quang Hiệp</t>
  </si>
  <si>
    <t>Trần Ngọc Hòa</t>
  </si>
  <si>
    <t>Lê Thu Hà</t>
  </si>
  <si>
    <t>Võ Quang Hiền</t>
  </si>
  <si>
    <t>Nguyễn Hữu Thạch</t>
  </si>
  <si>
    <t>Huyện Ủy</t>
  </si>
  <si>
    <t>9.2.1</t>
  </si>
  <si>
    <t>Khối Đảng, Đoàn thể</t>
  </si>
  <si>
    <t>9.2</t>
  </si>
  <si>
    <t>Thao Nắp</t>
  </si>
  <si>
    <t>Phòng Tư pháp</t>
  </si>
  <si>
    <t>9.1.9</t>
  </si>
  <si>
    <t>Huỳnh Thị Thanh Bạch</t>
  </si>
  <si>
    <t>Đào Tuấn Bình</t>
  </si>
  <si>
    <t>1 bc</t>
  </si>
  <si>
    <t>Phòng lao động thương binh và xã hội</t>
  </si>
  <si>
    <t>9.1.8</t>
  </si>
  <si>
    <t>Lê Bá Khánh Luân</t>
  </si>
  <si>
    <t>Trần Thị Y</t>
  </si>
  <si>
    <t>Trịnh Văn Huy</t>
  </si>
  <si>
    <t>Thạch Xuân Hào</t>
  </si>
  <si>
    <t>Phòng Giáo dục và đào tạo</t>
  </si>
  <si>
    <t>9.1.7</t>
  </si>
  <si>
    <t>Thanh tra huyện</t>
  </si>
  <si>
    <t>9.1.6</t>
  </si>
  <si>
    <t>Huỳnh Tấn Vũ</t>
  </si>
  <si>
    <t>Thaân Văn Hoàn</t>
  </si>
  <si>
    <t>Nguyễn Minh Thu</t>
  </si>
  <si>
    <t>Phòng Nông nghiệp&amp;PTNT</t>
  </si>
  <si>
    <t>9.1.5</t>
  </si>
  <si>
    <t>Vi Thị Mừng</t>
  </si>
  <si>
    <t>03 BC</t>
  </si>
  <si>
    <t>Phạm Tiến Tâm</t>
  </si>
  <si>
    <t>Phòng tài chính - kế hoạch</t>
  </si>
  <si>
    <t>9.1.4</t>
  </si>
  <si>
    <t>Vũ Văn Nhân</t>
  </si>
  <si>
    <t>Nguyễn Thu Trang</t>
  </si>
  <si>
    <t>01 bc</t>
  </si>
  <si>
    <t>Hoàng Trọng Quảng</t>
  </si>
  <si>
    <t>Lê Văn Bình</t>
  </si>
  <si>
    <t>Phòng kinh tế-hạ tầng</t>
  </si>
  <si>
    <t>9.1.2</t>
  </si>
  <si>
    <t>Bùi Văn Nhàng</t>
  </si>
  <si>
    <t>Văn phòng HĐND - UBND</t>
  </si>
  <si>
    <t>9.1.1</t>
  </si>
  <si>
    <t>Quản lý nhà nước</t>
  </si>
  <si>
    <t>9.1</t>
  </si>
  <si>
    <t>Quản lý nhà nước, đảng, đoàn thể</t>
  </si>
  <si>
    <t>Lò Văn Tình</t>
  </si>
  <si>
    <t>Trần Mạnh Hùng</t>
  </si>
  <si>
    <t>Trần Hưng Long</t>
  </si>
  <si>
    <t>Y Thị Bảo Yến</t>
  </si>
  <si>
    <t xml:space="preserve">Phạm Văn Tiến </t>
  </si>
  <si>
    <t>Trung tâm dịch vụ nông nghiệp huyện</t>
  </si>
  <si>
    <t>8.1</t>
  </si>
  <si>
    <t>Đảm bảo xã hội</t>
  </si>
  <si>
    <t>Thể dục - thể thao</t>
  </si>
  <si>
    <t>01BC</t>
  </si>
  <si>
    <t>Nguyễn Thị Cúc</t>
  </si>
  <si>
    <t>Lại thế thành</t>
  </si>
  <si>
    <t>Ngô Thị Hằng</t>
  </si>
  <si>
    <t>Phạm Công Phùng</t>
  </si>
  <si>
    <t>Lê Văn Cao</t>
  </si>
  <si>
    <t>Sự nghiệp văn hóa 
(Trung tâm VH TT-DL và TT huyện)</t>
  </si>
  <si>
    <t>KHU VỰC HCSN, ĐẢNG, ĐOÀN THỂ</t>
  </si>
  <si>
    <t>Tổng cộng (I+II+III+IV+V)</t>
  </si>
  <si>
    <t>25 = (5)*1.390</t>
  </si>
  <si>
    <t>23</t>
  </si>
  <si>
    <t>22</t>
  </si>
  <si>
    <t>21</t>
  </si>
  <si>
    <t>20</t>
  </si>
  <si>
    <t>19</t>
  </si>
  <si>
    <t>18</t>
  </si>
  <si>
    <t>17</t>
  </si>
  <si>
    <t>16</t>
  </si>
  <si>
    <t>15</t>
  </si>
  <si>
    <t>14</t>
  </si>
  <si>
    <t>13</t>
  </si>
  <si>
    <t>12</t>
  </si>
  <si>
    <t>11</t>
  </si>
  <si>
    <t>10</t>
  </si>
  <si>
    <t>9</t>
  </si>
  <si>
    <t>8</t>
  </si>
  <si>
    <t>7=8+…+22</t>
  </si>
  <si>
    <t>6</t>
  </si>
  <si>
    <t>5=6+7+23</t>
  </si>
  <si>
    <t>4</t>
  </si>
  <si>
    <t>3</t>
  </si>
  <si>
    <t>2</t>
  </si>
  <si>
    <t>Các khoản đóng góp BHXH, BHYT, KPCĐ</t>
  </si>
  <si>
    <t>Phụ cấp
 khác</t>
  </si>
  <si>
    <t>Phụ cấp kiêm nhiệm</t>
  </si>
  <si>
    <t>Phụ cấp
trách nhiệm</t>
  </si>
  <si>
    <t>Phụ cấp 
theo HD 05</t>
  </si>
  <si>
    <t>Phụ cấp
 Đại biểu HĐND</t>
  </si>
  <si>
    <t>Phụ cấp 
cấp ủy</t>
  </si>
  <si>
    <t>Phụ cấp 
lâu năm</t>
  </si>
  <si>
    <t>Phụ cấp
 phân loại xã</t>
  </si>
  <si>
    <t>Phụ cấp
 công vụ</t>
  </si>
  <si>
    <t>Phụ cấp 
ưu đãi ngành</t>
  </si>
  <si>
    <t>Phụ cấp
 thâm niên nghề</t>
  </si>
  <si>
    <t>Phụ cấp
 thu hút</t>
  </si>
  <si>
    <t xml:space="preserve">Phụ cấp
 đặc biệt </t>
  </si>
  <si>
    <t>Phụ cấp
 thâm niên vượt khung</t>
  </si>
  <si>
    <t xml:space="preserve">Phụ cấp chức vụ, 
</t>
  </si>
  <si>
    <t>Phụ cấp
 khu vực</t>
  </si>
  <si>
    <t>Tổng các khoản phụ cấp</t>
  </si>
  <si>
    <t>Lương theo ngạch bậc, chức vụ</t>
  </si>
  <si>
    <t>Nhu cầu kinh phí 01 tháng theo Nghị định 35/2019/NĐ-CP</t>
  </si>
  <si>
    <t>HỆ SỐ TIỀN LƯƠNG, PHỤ CẤP VÀ CÁC KHOẢN ĐÓNG GÓP THÁNG 11/2020</t>
  </si>
  <si>
    <t>Tổng số đối tượng có mặt đến 1/10/2020</t>
  </si>
  <si>
    <t>Biên chế được cấp có thẩm quyền phê duyệt năm 2020</t>
  </si>
  <si>
    <t>Tên đơn vị</t>
  </si>
  <si>
    <t>BÁO CÁO NHU CẦU KINH PHÍ TiỀN LƯƠNG NĂM 2018 THEO NGHỊ ĐỊNH SỐ 72/2018/NĐ-CP</t>
  </si>
  <si>
    <t>BÁO CÁO NHU CẦU KINH PHÍ THỰC HIỆN NGHỊ ĐỊNH 47/2016/NĐ-CP NĂM 2016</t>
  </si>
  <si>
    <t>Nhu cầu kinh phí năm 2021</t>
  </si>
  <si>
    <t>BiỂU SỐ 2</t>
  </si>
  <si>
    <t>BÁO CÁO NHU CẦU KINH PHÍ TiỀN LƯƠNG NĂM 2021</t>
  </si>
  <si>
    <t>(Kèm theo công văn số     /TCKH-NS ngày    /      /2021của phòng Tài chính - Kế hoạch huyện)</t>
  </si>
  <si>
    <t>Biên chế được cấp có thẩm quyền phê duyệt năm 2021</t>
  </si>
  <si>
    <t>HỆ SỐ TIỀN LƯƠNG, PHỤ CẤP VÀ CÁC KHOẢN ĐÓNG GÓP THAY ĐỔI TRONG NĂM</t>
  </si>
  <si>
    <t>Phụ cấp chức vụ, 
trách nhiệm</t>
  </si>
  <si>
    <t>Phụ cấp
 kiêm nhiệm</t>
  </si>
  <si>
    <t>23= (4)*số tháng* mức lương cơ sở</t>
  </si>
  <si>
    <t>Văn hóa thông tin</t>
  </si>
  <si>
    <t>Phát thanh truyền hình</t>
  </si>
  <si>
    <t>Lãi Thế Thành</t>
  </si>
  <si>
    <t>Kosr Sửu</t>
  </si>
  <si>
    <t>Trung tâm Văn hóa - Thể thao - Du lịch và Truyền thông</t>
  </si>
  <si>
    <t>Nguyễn Văn Sĩ</t>
  </si>
  <si>
    <t>Lưu Thị Thanh Xuân</t>
  </si>
  <si>
    <t>Nguyễn T. Phương Dung</t>
  </si>
  <si>
    <t>Nguyễn Văn Hưởng</t>
  </si>
  <si>
    <t>Phan Văn Tiến</t>
  </si>
  <si>
    <t>Lò Đức Tình</t>
  </si>
  <si>
    <t>1BC chưa có mặt</t>
  </si>
  <si>
    <t>4.1</t>
  </si>
  <si>
    <t>T1-T12</t>
  </si>
  <si>
    <t>T1-T3</t>
  </si>
  <si>
    <t>T4-T12</t>
  </si>
  <si>
    <t>T1</t>
  </si>
  <si>
    <t>T2-T12</t>
  </si>
  <si>
    <t>4.2</t>
  </si>
  <si>
    <t xml:space="preserve">Phòng Tài chính - Kế hoạch </t>
  </si>
  <si>
    <t>Huỳnh Thị Thu Tâm</t>
  </si>
  <si>
    <t>4.3</t>
  </si>
  <si>
    <t>Phòng Kinh tế và hạ tầng</t>
  </si>
  <si>
    <t>4.4</t>
  </si>
  <si>
    <t>Phòng Nông nghiệp và phát triển nông thôn</t>
  </si>
  <si>
    <t>Trần Quý Phương</t>
  </si>
  <si>
    <t>T1-T2</t>
  </si>
  <si>
    <t>4.5</t>
  </si>
  <si>
    <t>Phòng Lao động - Thương binh &amp; XH</t>
  </si>
  <si>
    <t>01 Biên chế</t>
  </si>
  <si>
    <t>4.6</t>
  </si>
  <si>
    <t xml:space="preserve">Phòng Tư pháp </t>
  </si>
  <si>
    <t>T3-T12</t>
  </si>
  <si>
    <t>4.7</t>
  </si>
  <si>
    <t>Phòng Gi áo dục và đào tạo</t>
  </si>
  <si>
    <t xml:space="preserve">Biên chế k có mặt </t>
  </si>
  <si>
    <t>01 biên chế k có mặt</t>
  </si>
  <si>
    <t>Trung tâm VH TT-DL và TT huyện</t>
  </si>
  <si>
    <t>Nguyễn Thị Phương Dung</t>
  </si>
  <si>
    <t>Uông Hưu Thỉnh</t>
  </si>
  <si>
    <t>Hợp đồng không kỳ hạn theo NĐ 68</t>
  </si>
  <si>
    <t>Trịnh Năng Hiếu</t>
  </si>
  <si>
    <t>Nguyễn Hữu Giang</t>
  </si>
  <si>
    <t>Vi Thị Hương</t>
  </si>
  <si>
    <t>Vi Thị Mừng (nghỉ thai sản)</t>
  </si>
  <si>
    <t>Thân Văn Hoàn</t>
  </si>
  <si>
    <t>01 biên chế</t>
  </si>
  <si>
    <t>1</t>
  </si>
  <si>
    <t xml:space="preserve">Pờ Ly Hảo </t>
  </si>
  <si>
    <t>01 bc chưa có mặt</t>
  </si>
  <si>
    <t>Ủy ban MT TQ VN huyện</t>
  </si>
  <si>
    <t>Hồ Đắc Thuỵ Xuân Hương</t>
  </si>
  <si>
    <t>Hội phụ nữ</t>
  </si>
  <si>
    <t xml:space="preserve">Nguyễn Hữu Luân </t>
  </si>
  <si>
    <t>5.1</t>
  </si>
  <si>
    <t>5.2</t>
  </si>
  <si>
    <t>5.3</t>
  </si>
  <si>
    <t>5.4</t>
  </si>
  <si>
    <t>5.5</t>
  </si>
  <si>
    <t>5.6</t>
  </si>
  <si>
    <t>Chênh lệch (bổ sung /thu hồi)</t>
  </si>
  <si>
    <t>từ tháng 1-9</t>
  </si>
  <si>
    <t>từ tháng 
10-12</t>
  </si>
  <si>
    <t>từ tháng 1-2</t>
  </si>
  <si>
    <t>từ tháng 3-10</t>
  </si>
  <si>
    <t>từ tháng 
11/2021</t>
  </si>
  <si>
    <t>từ tháng 1-3</t>
  </si>
  <si>
    <t>từ tháng 4-11</t>
  </si>
  <si>
    <t>từ tháng 12/2021</t>
  </si>
  <si>
    <t>từ tháng 4-12</t>
  </si>
  <si>
    <t>từ tháng 1-10</t>
  </si>
  <si>
    <t>từ tháng 11-12</t>
  </si>
  <si>
    <t>từ tháng 5-12</t>
  </si>
  <si>
    <t>tháng 1-2</t>
  </si>
  <si>
    <t>Nguyễn Hà Quang</t>
  </si>
  <si>
    <t>Lê Đình Thanh</t>
  </si>
  <si>
    <t>Dương Văn Hà</t>
  </si>
  <si>
    <t>Lữ Thị Luyến</t>
  </si>
  <si>
    <t xml:space="preserve">Hợp đồng </t>
  </si>
  <si>
    <t>02 biên chế</t>
  </si>
  <si>
    <t xml:space="preserve">    </t>
  </si>
  <si>
    <t>Kinh phí sau điều chỉnh</t>
  </si>
  <si>
    <t>Kinh phí chuyển nguồn từ năm 2021 sang 2022</t>
  </si>
  <si>
    <t>Kinh phí tiền lương đã sử dụng đến 30/04/2022</t>
  </si>
  <si>
    <t>Nhu cầu kinh phí năm 2022</t>
  </si>
  <si>
    <t>Nhiệm vụ công tác đoàn ra, đoàn vào, đối ngoại</t>
  </si>
  <si>
    <t>Kinh phí chỉnh lý tài liệu</t>
  </si>
  <si>
    <t>KP hoạt động cho Bộ phận Tiếp nhận và trả kết quả, sửa chữa máy photo và mua máy scan, sửa chữa nơi làm việc</t>
  </si>
  <si>
    <t>Kinh phí hoạt động thường xuyên HĐND</t>
  </si>
  <si>
    <t>Quản lý hành chính</t>
  </si>
  <si>
    <t>Kinh phí tuyên truyền pháp luật</t>
  </si>
  <si>
    <t>Trung tâm dịch vụ nông nghiệp</t>
  </si>
  <si>
    <t>Thu thủy lợi phí, giá dịch vụ thủy lợi</t>
  </si>
  <si>
    <t>Kinh phí quản lý chương trình MTQG xây dựng nông thôn mới, tập huấn chương trình MTQG xây dựng nông thôn mới, quản lý đập nước</t>
  </si>
  <si>
    <t>Trợ cấp lần đầu vùng có điều kiện đặc biệt khó khăn theo NĐ 76/2019/NĐ-CP</t>
  </si>
  <si>
    <t>Sự nghiệp văn hóa</t>
  </si>
  <si>
    <t>Kinh phí điều chỉnh, bổ sung trong năm (tăng/giảm)</t>
  </si>
  <si>
    <t>Kinh phí hoạt động thể thao, tham gia đại hội thể dục thể thao tại tỉnh</t>
  </si>
  <si>
    <t>Tổng dự toán kinh phí đã cấp đã trừ 10% tiết kiệm</t>
  </si>
  <si>
    <t xml:space="preserve">Chính trang đô thị theo Chương trình phát triển đô thị </t>
  </si>
  <si>
    <t>Sự nghiệp thể thao</t>
  </si>
  <si>
    <t>Nội dung nguồn</t>
  </si>
  <si>
    <t>ĐIỀU CHỈNH NHIỆM VỤ CHI CỦA CÁC ĐƠN VỊ NĂM 2022 (LẦN 1)</t>
  </si>
  <si>
    <t>Đơn vị tính: Đồng</t>
  </si>
  <si>
    <t>-</t>
  </si>
  <si>
    <t>Kinh phí ban hành văn bản quy phạm pháp luật</t>
  </si>
  <si>
    <t>Quỹ lương biên chế sự nghiệp</t>
  </si>
  <si>
    <t xml:space="preserve">Kinh phí ứng dụng chuyển giao khoa học công nghệ Đối ứng nhân rộng khoa học công nghệ cấp tỉnh : mô hình nhân rộng cá Chình hoa (bông ) trong lồng, bè. </t>
  </si>
  <si>
    <t>Sự nghiệp khoa học công nghệ</t>
  </si>
  <si>
    <t>Kinh phí chi trả tiền nhuận bút cho cộng tác viên, Kinh phí hoạt động Trang thông tin điện tử huyện, chi phát thanh định kỳ, 01 máy tính để lấy tin, 01 tủ sấy bảo dưỡng máy móc, 01 Máy chụp hình</t>
  </si>
  <si>
    <t>Phòng Nông nghiệp và Phát triển nông thôn</t>
  </si>
  <si>
    <t>Kinh phí tiền lương và các khoản đóng góp</t>
  </si>
  <si>
    <t>Hội cựu chiến binh</t>
  </si>
  <si>
    <t>Tổng số đối tượng có mặt đến 1/10/2021</t>
  </si>
  <si>
    <t>HỆ SỐ TIỀN LƯƠNG, PHỤ CẤP VÀ CÁC KHOẢN ĐÓNG GÓP THÁNG 10/2021</t>
  </si>
  <si>
    <t>Trong đó:</t>
  </si>
  <si>
    <t>Sự nghiệp giáo dục - đào tạo</t>
  </si>
  <si>
    <t>- Giáo dục</t>
  </si>
  <si>
    <t>1.1</t>
  </si>
  <si>
    <t>Trường mầm non Măng Non</t>
  </si>
  <si>
    <t>Nguyễn Tôn Tố Uyên</t>
  </si>
  <si>
    <t>Thái Thanh Hiếu</t>
  </si>
  <si>
    <t>Hà Thị Nga</t>
  </si>
  <si>
    <t>Võ Thị Xuân Uyên</t>
  </si>
  <si>
    <t>Hà Thị Hiên</t>
  </si>
  <si>
    <t>Đinh Thị Thu</t>
  </si>
  <si>
    <t>Đinh Thị Thủy</t>
  </si>
  <si>
    <t>Lê Huỳnh Như Ngọc</t>
  </si>
  <si>
    <t>Phạm Thị Hà</t>
  </si>
  <si>
    <t>Y Ken</t>
  </si>
  <si>
    <t>Y Sử</t>
  </si>
  <si>
    <t>Y Kha</t>
  </si>
  <si>
    <t>Nguyễn Thị Hoồng</t>
  </si>
  <si>
    <t>Y Bích</t>
  </si>
  <si>
    <t>Nguyễn Thị Thanh Kim Chung</t>
  </si>
  <si>
    <t>Nguyễn Thị Hoàng Vi</t>
  </si>
  <si>
    <t>Đoàn Thị Mỹ Hạnh</t>
  </si>
  <si>
    <t>Lương Thị Nguyên</t>
  </si>
  <si>
    <t>Y Tuyn</t>
  </si>
  <si>
    <t>Y Phuyn</t>
  </si>
  <si>
    <t>Y Vệ</t>
  </si>
  <si>
    <t>Puth Trinh</t>
  </si>
  <si>
    <t>1.2</t>
  </si>
  <si>
    <t>Trường mầm non Hoa Mai</t>
  </si>
  <si>
    <t>Huỳnh Thị Lệ Hương</t>
  </si>
  <si>
    <t>Trần Thị Thùy Trang</t>
  </si>
  <si>
    <t>Trần Thị Dung</t>
  </si>
  <si>
    <t>Ngô Thị Nhung</t>
  </si>
  <si>
    <t>Lê Thị Thanh Tâm</t>
  </si>
  <si>
    <t>Nguyễn Thị Thanh Vân</t>
  </si>
  <si>
    <t>Ngô Thị Phượng</t>
  </si>
  <si>
    <t>Kiều Thị Tuyết</t>
  </si>
  <si>
    <t>Phạm Thị Dịu</t>
  </si>
  <si>
    <t>Lâm Thị Mỹ Diệu</t>
  </si>
  <si>
    <t xml:space="preserve">Dương Thị Trà Giang </t>
  </si>
  <si>
    <t>Lê Thị Phương Anh</t>
  </si>
  <si>
    <t>Trương Thị Mỹ Linh</t>
  </si>
  <si>
    <t>Thừa Thị Trang</t>
  </si>
  <si>
    <t>Phạm Thị Kim Anh</t>
  </si>
  <si>
    <t>Nguyễn Thị Quyên</t>
  </si>
  <si>
    <t>Nguyễn Thị Mỹ Khánh</t>
  </si>
  <si>
    <t>Y thuốc</t>
  </si>
  <si>
    <t>Lý Thị Ngoan</t>
  </si>
  <si>
    <t>Dđinh Thị Minh</t>
  </si>
  <si>
    <t xml:space="preserve">1.3 </t>
  </si>
  <si>
    <t>Trường Mầm non Tuổi Ngọc</t>
  </si>
  <si>
    <t>Đoàn Thi Lệ</t>
  </si>
  <si>
    <t>Đinh Thị Thoa</t>
  </si>
  <si>
    <t>Đoàn Thị Thảo</t>
  </si>
  <si>
    <t>Ngô Thị Hồng</t>
  </si>
  <si>
    <t>Phan Thị Hương</t>
  </si>
  <si>
    <t>Phạm Thị Huệ</t>
  </si>
  <si>
    <t>Nguyễn Thị Thu Thủy</t>
  </si>
  <si>
    <t>Lê Thị Hiền</t>
  </si>
  <si>
    <t>Võ Thị Kim Yên</t>
  </si>
  <si>
    <t>Hà Thị Giang</t>
  </si>
  <si>
    <t>Trần Thị Thu Sương</t>
  </si>
  <si>
    <t>Đặng Thị Thu</t>
  </si>
  <si>
    <t>Lô Thị Kiều Oanh</t>
  </si>
  <si>
    <t>Bùi Thị Vân</t>
  </si>
  <si>
    <t>Nguyễn Hoài Lam</t>
  </si>
  <si>
    <t>Phan Thị Thu Thảo</t>
  </si>
  <si>
    <t>Y TuỦY</t>
  </si>
  <si>
    <t>1.4</t>
  </si>
  <si>
    <t>Trường tiểu học - THCS 
HÙNG VƯỜNG (Tiểu học)</t>
  </si>
  <si>
    <t>Lò Thúy Hường</t>
  </si>
  <si>
    <t>Hoàng Văn Sơn</t>
  </si>
  <si>
    <t>Dương ThỊ Năm</t>
  </si>
  <si>
    <t>A Thoai</t>
  </si>
  <si>
    <t>A Rơn</t>
  </si>
  <si>
    <t>Lê Văn Thanh</t>
  </si>
  <si>
    <t>Dương Công Minh</t>
  </si>
  <si>
    <t>Lương Thị Vân</t>
  </si>
  <si>
    <t>Hà Văn Sơn</t>
  </si>
  <si>
    <t>Lương Thị Sen</t>
  </si>
  <si>
    <t>Phùng  Thị Kim Thúy</t>
  </si>
  <si>
    <t>Trần Thị Thanh Hiếu</t>
  </si>
  <si>
    <t>Y Glao</t>
  </si>
  <si>
    <t>Nguyễn Thị Hoài</t>
  </si>
  <si>
    <t>Nguyễn Thị Thúy</t>
  </si>
  <si>
    <t>Nguyễn Hữu Bình</t>
  </si>
  <si>
    <t>Phạm Thị Thanh Thảo</t>
  </si>
  <si>
    <t>Lò Thị Quế</t>
  </si>
  <si>
    <t>A Thứch</t>
  </si>
  <si>
    <t>Hợp đồng</t>
  </si>
  <si>
    <t>Lê Duy Cường</t>
  </si>
  <si>
    <t>Đỗ Thái Nguyên</t>
  </si>
  <si>
    <t>Lê Thị Mỹ Dung</t>
  </si>
  <si>
    <t>Trần Thị Nhàn</t>
  </si>
  <si>
    <t>Võ Thị Thành</t>
  </si>
  <si>
    <t>Võ Thị Hoa</t>
  </si>
  <si>
    <t>A Cự</t>
  </si>
  <si>
    <t>Phạm Thị Thúy Vi</t>
  </si>
  <si>
    <t>Nguyễn Lệ Hiền</t>
  </si>
  <si>
    <t>Võ Thanh Tâm</t>
  </si>
  <si>
    <t>Lương Như Hoa</t>
  </si>
  <si>
    <t>Hồ Thị Ánh Tuyết</t>
  </si>
  <si>
    <t>1.5</t>
  </si>
  <si>
    <t>Trường tiểu học - THCS 
Nguyễn Tất Thành (tiểu học)</t>
  </si>
  <si>
    <t>Nguyễn Hồ Chiến</t>
  </si>
  <si>
    <t>Đỗ Thị Ánh Ngọc</t>
  </si>
  <si>
    <t>Vi Thị Hiền</t>
  </si>
  <si>
    <t>Hà Thị Hương</t>
  </si>
  <si>
    <t>Nguyễn Tiến Vân</t>
  </si>
  <si>
    <t>Vi Thị Bích</t>
  </si>
  <si>
    <t>Lê Văn Peng</t>
  </si>
  <si>
    <t>Hà Thị Vinh</t>
  </si>
  <si>
    <t>Nguyễn Thị Nhài</t>
  </si>
  <si>
    <t>Lê Thị Diệp</t>
  </si>
  <si>
    <t>Lương Văn Thuận</t>
  </si>
  <si>
    <t>Hoàng Thị Hạnh</t>
  </si>
  <si>
    <t>Phan Quốc Xuân</t>
  </si>
  <si>
    <t>Trần Cường</t>
  </si>
  <si>
    <t>Lê Long Sơn</t>
  </si>
  <si>
    <t>Lê Nguyễn Ái Vân</t>
  </si>
  <si>
    <t>Trần Thị Bình</t>
  </si>
  <si>
    <t>Mai Thị Thu</t>
  </si>
  <si>
    <t>Đỗ Thị Trang</t>
  </si>
  <si>
    <t>03 biên chế</t>
  </si>
  <si>
    <t>1.6</t>
  </si>
  <si>
    <t>Trường TH Nguyễn Du</t>
  </si>
  <si>
    <t>1.6.1</t>
  </si>
  <si>
    <t>Khối tiểu học</t>
  </si>
  <si>
    <t>Hoàng Đại Quang</t>
  </si>
  <si>
    <t>Lê Trương Hoan</t>
  </si>
  <si>
    <t>Tăng Thị Hương</t>
  </si>
  <si>
    <t>Lê Thị Anh Thi</t>
  </si>
  <si>
    <t>Đinh Thị Thanh Tuyền</t>
  </si>
  <si>
    <t>Nguyễn Thị Ngọc Tú</t>
  </si>
  <si>
    <t>Bùi Hồng Phong</t>
  </si>
  <si>
    <t>Nguyễn Hoàng Vũ</t>
  </si>
  <si>
    <t>Dương Thị Thanh Xuân</t>
  </si>
  <si>
    <t>A Hảoh</t>
  </si>
  <si>
    <t>Phan Thị Mỹ Linh</t>
  </si>
  <si>
    <t>Y Mi Ka</t>
  </si>
  <si>
    <t>Quách Văn Tuần</t>
  </si>
  <si>
    <t>Tôn Long Được</t>
  </si>
  <si>
    <t>Y Pư</t>
  </si>
  <si>
    <t>Tô Ngọc Quỳnh Nga</t>
  </si>
  <si>
    <t>1.6.2</t>
  </si>
  <si>
    <t>Khoối THCS</t>
  </si>
  <si>
    <t>Nguyễn Ngọc Linh</t>
  </si>
  <si>
    <t>Nguyễn Thị Hoàng Oanh</t>
  </si>
  <si>
    <t>Đỗ Thị Ái Loan</t>
  </si>
  <si>
    <t>Lê Văn Khải</t>
  </si>
  <si>
    <t>Vũ Thị Lan</t>
  </si>
  <si>
    <t>09BC</t>
  </si>
  <si>
    <t>Nguyễn Hồ Ngọc An</t>
  </si>
  <si>
    <t>Đinh Thanh Điệp</t>
  </si>
  <si>
    <t>Cao Mạnh Hùng</t>
  </si>
  <si>
    <t>Cao Thanh Sơn</t>
  </si>
  <si>
    <t>Lê Thị Thu</t>
  </si>
  <si>
    <t>Lê Thanh Tùng</t>
  </si>
  <si>
    <t>Puih Hngân</t>
  </si>
  <si>
    <t>1.7</t>
  </si>
  <si>
    <t>Trường TH - THCS Hùng Vương (THCS)</t>
  </si>
  <si>
    <t>Đỗ Việt Hưng</t>
  </si>
  <si>
    <t>Đỗ Văn Cường</t>
  </si>
  <si>
    <t>Bùi Công Nam</t>
  </si>
  <si>
    <t>Bùi Thị Nam Ninh</t>
  </si>
  <si>
    <t>Trần Đại Vương</t>
  </si>
  <si>
    <t>Nguyễn Thị Hương</t>
  </si>
  <si>
    <t>Vũ Ngọc Chưởng</t>
  </si>
  <si>
    <t>Trần Hồng Nguyên</t>
  </si>
  <si>
    <t>Cao Thị Hoàng Tùng</t>
  </si>
  <si>
    <t>Nguyễn Thị Hồng Nhi</t>
  </si>
  <si>
    <t>Cao Thị Hoàng Nhung</t>
  </si>
  <si>
    <t xml:space="preserve">Lê Công Nguyên </t>
  </si>
  <si>
    <t>Nguyễn Văn Hùng</t>
  </si>
  <si>
    <t>14 BC chưa tuyển</t>
  </si>
  <si>
    <t>Lê Thị lành</t>
  </si>
  <si>
    <t>A Vũ</t>
  </si>
  <si>
    <t>1.8</t>
  </si>
  <si>
    <t>Trường TH - THCS Nguyễn Tất Thành</t>
  </si>
  <si>
    <t>Quách Văn Vương</t>
  </si>
  <si>
    <t>Trần Quốc Chung</t>
  </si>
  <si>
    <t>Nguyễn Thị Mỹ Duyên</t>
  </si>
  <si>
    <t>Đinh Thị Mai Trâm</t>
  </si>
  <si>
    <t>TRần Thị Huyền</t>
  </si>
  <si>
    <t>Dương Công Cẩn</t>
  </si>
  <si>
    <t>Nguyễn Thị Nguyệt</t>
  </si>
  <si>
    <t>Nguyễn Thị Nhi</t>
  </si>
  <si>
    <t>Hà Thị Thu Thủy</t>
  </si>
  <si>
    <t>Phùng Ngọc Hùng</t>
  </si>
  <si>
    <t>Phạm Thanh Tùng</t>
  </si>
  <si>
    <t>Nguyễn Văn Khiêm</t>
  </si>
  <si>
    <t>Trần Lâm Thanh</t>
  </si>
  <si>
    <t>Đỗ Thị Lài</t>
  </si>
  <si>
    <t>PhẠM Thị Lựu</t>
  </si>
  <si>
    <t>Nguyễn Thị Hồng Hà</t>
  </si>
  <si>
    <t>07BC</t>
  </si>
  <si>
    <t>Lê Thị Trinh</t>
  </si>
  <si>
    <t>Sự nghiệp y tế</t>
  </si>
  <si>
    <t>Khoa học công nghệ</t>
  </si>
  <si>
    <t>Xa Thị Thu Hằng</t>
  </si>
  <si>
    <t>02 bc</t>
  </si>
  <si>
    <t>01 BC trống</t>
  </si>
  <si>
    <t>Lê Văn Tiến</t>
  </si>
  <si>
    <t>Hợp đồng 68</t>
  </si>
  <si>
    <t>04 bc</t>
  </si>
  <si>
    <t>02 BC</t>
  </si>
  <si>
    <t>Trần Quang Trung</t>
  </si>
  <si>
    <t>sai đóng góp</t>
  </si>
  <si>
    <t>lệch</t>
  </si>
  <si>
    <t>Dđinh Thị Hà</t>
  </si>
  <si>
    <t>Nguyễn Thị Huyền</t>
  </si>
  <si>
    <t>Chúc Bá Tú</t>
  </si>
  <si>
    <t>Trần Mai Tài</t>
  </si>
  <si>
    <t>7 bc</t>
  </si>
  <si>
    <t>Hoồ Thị Đào</t>
  </si>
  <si>
    <t>01bc</t>
  </si>
  <si>
    <t>Nguyễn Hứu Thạch</t>
  </si>
  <si>
    <t>Pờ Ly Hảo</t>
  </si>
  <si>
    <t xml:space="preserve"> Nguyễn Thanh Tuấn</t>
  </si>
  <si>
    <t>Trần Văn Tiền</t>
  </si>
  <si>
    <t>Vũ Huy Tưởng</t>
  </si>
  <si>
    <t>Nguyễn Văn Ngọc</t>
  </si>
  <si>
    <t>Trần Xuân Thịnh</t>
  </si>
  <si>
    <t>Chế Hồng Quyền</t>
  </si>
  <si>
    <t>Lò Thị Sai</t>
  </si>
  <si>
    <t>Nguyễn Thị Thuận</t>
  </si>
  <si>
    <t>Hồ Thị Thu Ngân</t>
  </si>
  <si>
    <t>Tô Ngọc Long</t>
  </si>
  <si>
    <t>Dương Văn Năm</t>
  </si>
  <si>
    <t>Phòng Lao động - Thương binh và Xã hội</t>
  </si>
  <si>
    <t>Kinh phí thực hiện nhiệm vụ quy hoạch</t>
  </si>
  <si>
    <t xml:space="preserve">Điều chỉnh giảm để bổ sung cho chi khác của 01 biên chế mới bổ sung </t>
  </si>
  <si>
    <t xml:space="preserve">Điều chỉnh giảm để bổ sung cho TTDVNN quỹ lương, các khoản theo lương của 01 biên chế mới bổ sung </t>
  </si>
  <si>
    <t>Trung tâm chính trị</t>
  </si>
  <si>
    <t>Sự nghiệp đào tạo</t>
  </si>
  <si>
    <t>Ban chỉ huy quân sự huyện</t>
  </si>
  <si>
    <t>Lĩnh vực quốc phòng</t>
  </si>
  <si>
    <t xml:space="preserve">Chi nghiệp vụ chuyên môn </t>
  </si>
  <si>
    <t>Kinh phí mở lớp bồi dưỡng kiến thức Quốc phòng và an ninh cho đối tượng 4 năm 2022 để thực hiện mở lớp bồi dưỡng kiến thức Quốc phòng và an ninh cho đối tượng 4 năm 2022</t>
  </si>
  <si>
    <r>
      <t>Văn phòng Huyện ủy - Hội đồng nhân dân - Ủy ban nhân dân huyện (</t>
    </r>
    <r>
      <rPr>
        <b/>
        <i/>
        <sz val="12"/>
        <rFont val="Times New Roman"/>
        <family val="1"/>
      </rPr>
      <t>Văn phòng Huyện ủy chủ tài khoản</t>
    </r>
    <r>
      <rPr>
        <b/>
        <sz val="12"/>
        <rFont val="Times New Roman"/>
        <family val="1"/>
      </rPr>
      <t>)</t>
    </r>
  </si>
  <si>
    <r>
      <t>Văn phòng Huyện ủy - Hội đồng nhân dân - Ủy ban nhân dân huyện (</t>
    </r>
    <r>
      <rPr>
        <b/>
        <i/>
        <sz val="12"/>
        <rFont val="Times New Roman"/>
        <family val="1"/>
      </rPr>
      <t>Văn phòng Hội đồng nhân dân - Ủy ban nhân dân huyện chủ tài khoản</t>
    </r>
    <r>
      <rPr>
        <b/>
        <sz val="12"/>
        <rFont val="Times New Roman"/>
        <family val="1"/>
      </rPr>
      <t>)</t>
    </r>
  </si>
  <si>
    <r>
      <t>Điều chỉnh giảm để bổ sung cho Văn phòng Huyện ủy - HĐND - UBND huyện (V</t>
    </r>
    <r>
      <rPr>
        <i/>
        <sz val="12"/>
        <rFont val="Times New Roman"/>
        <family val="1"/>
      </rPr>
      <t>ăn phòng Hội đồng nhân dân - Ủy ban nhân dân huyện chủ tài khoản</t>
    </r>
    <r>
      <rPr>
        <sz val="12"/>
        <rFont val="Times New Roman"/>
        <family val="1"/>
      </rPr>
      <t>) thực hiện hoạt động cho Bộ phận Tiếp nhận và trả kết quả, sửa chữa máy photo và mua máy scan, sửa chữa nơi làm việc</t>
    </r>
  </si>
  <si>
    <t xml:space="preserve">Chi khác của 01 biên chế mới được bổ sung trong năm 2022 </t>
  </si>
  <si>
    <t>Trung tâm Văn hóa - Thể thao - Du lịch và Truyền thông huyện</t>
  </si>
  <si>
    <r>
      <t>Kinh phí chi tuyên truyền cổ động trực quan, tuyên truyền lưu động (</t>
    </r>
    <r>
      <rPr>
        <i/>
        <sz val="12"/>
        <rFont val="Times New Roman"/>
        <family val="1"/>
      </rPr>
      <t>bao gồm tiền sửa chữa xe chuyên dùng…</t>
    </r>
    <r>
      <rPr>
        <sz val="12"/>
        <rFont val="Times New Roman"/>
        <family val="1"/>
      </rPr>
      <t>)</t>
    </r>
  </si>
  <si>
    <t>Kinh phí thực hiện nhiệm vụ đảm bảo trật tự an toàn giao thông</t>
  </si>
  <si>
    <t>(Kèm theo Nghị quyết số        /NQ-HĐND ngày       tháng 7 năm 2022 của Hội đồng nhân dân huyện Ia H'Drai)</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</si>
</sst>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0_);_(* \(#,##0.000\);_(* &quot;-&quot;??_);_(@_)"/>
    <numFmt numFmtId="181" formatCode="_(* #,##0_);_(* \(#,##0\);_(* &quot;-&quot;??_);_(@_)"/>
    <numFmt numFmtId="182" formatCode="_(* #,##0_);_(* \(#,##0\);_(* &quot;-&quot;???_);_(@_)"/>
    <numFmt numFmtId="183" formatCode="_-* #,##0_-;\-* #,##0_-;_-* &quot;-&quot;??_-;_-@_-"/>
    <numFmt numFmtId="184" formatCode="_(&quot;£&quot;\ * #,##0_);_(&quot;£&quot;\ * \(#,##0\);_(&quot;£&quot;\ * &quot;-&quot;_);_(@_)"/>
    <numFmt numFmtId="185" formatCode="_-* #,##0.000_-;\-* #,##0.000_-;_-* &quot;-&quot;??_-;_-@_-"/>
    <numFmt numFmtId="186" formatCode="_-* #,##0.0000_-;\-* #,##0.0000_-;_-* &quot;-&quot;??_-;_-@_-"/>
    <numFmt numFmtId="187" formatCode="&quot;€&quot;###,0&quot;.&quot;00_);\(&quot;€&quot;###,0&quot;.&quot;00\)"/>
    <numFmt numFmtId="188" formatCode="#,##0.0"/>
    <numFmt numFmtId="189" formatCode="0.0000"/>
    <numFmt numFmtId="190" formatCode="#,##0.0000"/>
    <numFmt numFmtId="191" formatCode="#,##0.000"/>
    <numFmt numFmtId="192" formatCode="_-* #,##0.0_-;\-* #,##0.0_-;_-* &quot;-&quot;??_-;_-@_-"/>
    <numFmt numFmtId="193" formatCode="#,##0.0_ ;\-#,##0.0\ "/>
    <numFmt numFmtId="194" formatCode="_(* #,##0.0_);_(* \(#,##0.0\);_(* &quot;-&quot;??_);_(@_)"/>
    <numFmt numFmtId="195" formatCode="_(* #,##0.0_);_(* \(#,##0.0\);_(* \-??_);_(@_)"/>
    <numFmt numFmtId="196" formatCode="#,##0_ ;\-#,##0\ "/>
    <numFmt numFmtId="197" formatCode="_(* #,##0.000_);_(* \(#,##0.000\);_(* &quot;-&quot;???_);_(@_)"/>
    <numFmt numFmtId="198" formatCode="_(* #,##0.0000_);_(* \(#,##0.0000\);_(* &quot;-&quot;??_);_(@_)"/>
    <numFmt numFmtId="199" formatCode="_(* #,##0.0_);_(* \(#,##0.0\);_(* &quot;-&quot;?_);_(@_)"/>
    <numFmt numFmtId="200" formatCode="_-* #,##0.00000_-;\-* #,##0.00000_-;_-* &quot;-&quot;??_-;_-@_-"/>
    <numFmt numFmtId="201" formatCode="_(* #,##0.00000_);_(* \(#,##0.00000\);_(* &quot;-&quot;??_);_(@_)"/>
    <numFmt numFmtId="202" formatCode="_(* #,##0.000000_);_(* \(#,##0.000000\);_(* &quot;-&quot;??_);_(@_)"/>
    <numFmt numFmtId="203" formatCode="&quot;Yes&quot;;&quot;Yes&quot;;&quot;No&quot;"/>
    <numFmt numFmtId="204" formatCode="&quot;True&quot;;&quot;True&quot;;&quot;False&quot;"/>
    <numFmt numFmtId="205" formatCode="&quot;On&quot;;&quot;On&quot;;&quot;Off&quot;"/>
    <numFmt numFmtId="206" formatCode="[$€-2]\ #,##0.00_);[Red]\([$€-2]\ #,##0.00\)"/>
    <numFmt numFmtId="207" formatCode="_(* #,##0.0000_);_(* \(#,##0.0000\);_(* &quot;-&quot;????_);_(@_)"/>
    <numFmt numFmtId="208" formatCode="\+0;\-0;0"/>
    <numFmt numFmtId="209" formatCode="\+0,000;\-0,000;0,000"/>
    <numFmt numFmtId="210" formatCode="_-* #,##0\ _₫_-;\-* #,##0\ _₫_-;_-* &quot;-&quot;??\ _₫_-;_-@_-"/>
  </numFmts>
  <fonts count="99">
    <font>
      <sz val="11"/>
      <color theme="1"/>
      <name val="Calibri"/>
      <family val="2"/>
    </font>
    <font>
      <sz val="11"/>
      <color indexed="8"/>
      <name val="Calibri"/>
      <family val="2"/>
    </font>
    <font>
      <b/>
      <sz val="12"/>
      <name val="Times New Roman"/>
      <family val="1"/>
    </font>
    <font>
      <sz val="12"/>
      <name val="Times New Roman"/>
      <family val="1"/>
    </font>
    <font>
      <sz val="10"/>
      <color indexed="8"/>
      <name val="Times New Roman"/>
      <family val="1"/>
    </font>
    <font>
      <sz val="10"/>
      <name val="Arial"/>
      <family val="2"/>
    </font>
    <font>
      <b/>
      <i/>
      <sz val="10"/>
      <color indexed="8"/>
      <name val="Times New Roman"/>
      <family val="1"/>
    </font>
    <font>
      <b/>
      <sz val="10"/>
      <color indexed="8"/>
      <name val="Times New Roman"/>
      <family val="1"/>
    </font>
    <font>
      <b/>
      <i/>
      <sz val="10"/>
      <color indexed="10"/>
      <name val="Times New Roman"/>
      <family val="1"/>
    </font>
    <font>
      <sz val="10"/>
      <color indexed="10"/>
      <name val="Times New Roman"/>
      <family val="1"/>
    </font>
    <font>
      <sz val="12"/>
      <color indexed="10"/>
      <name val="Times New Roman"/>
      <family val="1"/>
    </font>
    <font>
      <i/>
      <sz val="10"/>
      <color indexed="8"/>
      <name val="Times New Roman"/>
      <family val="1"/>
    </font>
    <font>
      <sz val="12"/>
      <color indexed="8"/>
      <name val="Times New Roman"/>
      <family val="1"/>
    </font>
    <font>
      <b/>
      <sz val="10"/>
      <name val="Times New Roman"/>
      <family val="1"/>
    </font>
    <font>
      <sz val="10"/>
      <name val="Times New Roman"/>
      <family val="1"/>
    </font>
    <font>
      <sz val="12"/>
      <name val=".VnTime"/>
      <family val="2"/>
    </font>
    <font>
      <sz val="11"/>
      <name val="Arial Narrow"/>
      <family val="2"/>
    </font>
    <font>
      <b/>
      <i/>
      <sz val="10"/>
      <name val="Times New Roman"/>
      <family val="1"/>
    </font>
    <font>
      <sz val="9"/>
      <name val="Times New Roman"/>
      <family val="1"/>
    </font>
    <font>
      <b/>
      <i/>
      <u val="single"/>
      <sz val="10"/>
      <name val="Times New Roman"/>
      <family val="1"/>
    </font>
    <font>
      <b/>
      <i/>
      <sz val="12"/>
      <name val="Times New Roman"/>
      <family val="1"/>
    </font>
    <font>
      <b/>
      <sz val="12"/>
      <color indexed="8"/>
      <name val="Times New Roman"/>
      <family val="1"/>
    </font>
    <font>
      <sz val="12"/>
      <name val="Arial Narrow"/>
      <family val="2"/>
    </font>
    <font>
      <b/>
      <i/>
      <sz val="12"/>
      <color indexed="10"/>
      <name val="Times New Roman"/>
      <family val="1"/>
    </font>
    <font>
      <i/>
      <sz val="12"/>
      <color indexed="10"/>
      <name val="Times New Roman"/>
      <family val="1"/>
    </font>
    <font>
      <b/>
      <i/>
      <sz val="12"/>
      <color indexed="8"/>
      <name val="Times New Roman"/>
      <family val="1"/>
    </font>
    <font>
      <i/>
      <sz val="12"/>
      <color indexed="8"/>
      <name val="Times New Roman"/>
      <family val="1"/>
    </font>
    <font>
      <b/>
      <sz val="12"/>
      <color indexed="10"/>
      <name val="Times New Roman"/>
      <family val="1"/>
    </font>
    <font>
      <sz val="11"/>
      <color indexed="8"/>
      <name val="Times New Roman"/>
      <family val="1"/>
    </font>
    <font>
      <b/>
      <sz val="11"/>
      <color indexed="8"/>
      <name val="Times New Roman"/>
      <family val="1"/>
    </font>
    <font>
      <sz val="9"/>
      <color indexed="8"/>
      <name val="Times New Roman"/>
      <family val="1"/>
    </font>
    <font>
      <i/>
      <sz val="10"/>
      <color indexed="10"/>
      <name val="Times New Roman"/>
      <family val="1"/>
    </font>
    <font>
      <sz val="11"/>
      <color indexed="10"/>
      <name val="Times New Roman"/>
      <family val="1"/>
    </font>
    <font>
      <b/>
      <sz val="11"/>
      <color indexed="10"/>
      <name val="Times New Roman"/>
      <family val="1"/>
    </font>
    <font>
      <b/>
      <sz val="10"/>
      <color indexed="10"/>
      <name val="Times New Roman"/>
      <family val="1"/>
    </font>
    <font>
      <b/>
      <i/>
      <sz val="11"/>
      <color indexed="8"/>
      <name val="Times New Roman"/>
      <family val="1"/>
    </font>
    <font>
      <b/>
      <i/>
      <sz val="9"/>
      <color indexed="8"/>
      <name val="Times New Roman"/>
      <family val="1"/>
    </font>
    <font>
      <b/>
      <sz val="9"/>
      <color indexed="8"/>
      <name val="Times New Roman"/>
      <family val="1"/>
    </font>
    <font>
      <sz val="9"/>
      <color indexed="10"/>
      <name val="Times New Roman"/>
      <family val="1"/>
    </font>
    <font>
      <i/>
      <sz val="9"/>
      <color indexed="10"/>
      <name val="Times New Roman"/>
      <family val="1"/>
    </font>
    <font>
      <i/>
      <sz val="9"/>
      <color indexed="8"/>
      <name val="Times New Roman"/>
      <family val="1"/>
    </font>
    <font>
      <sz val="10"/>
      <name val=".VnTime"/>
      <family val="2"/>
    </font>
    <font>
      <i/>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8"/>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u val="single"/>
      <sz val="10"/>
      <color indexed="8"/>
      <name val="Times New Roman"/>
      <family val="1"/>
    </font>
    <font>
      <sz val="11"/>
      <color indexed="8"/>
      <name val="Arial Narrow"/>
      <family val="2"/>
    </font>
    <font>
      <sz val="12"/>
      <color indexed="6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
      <sz val="10"/>
      <color theme="1"/>
      <name val="Times New Roman"/>
      <family val="1"/>
    </font>
    <font>
      <b/>
      <i/>
      <sz val="10"/>
      <color theme="1"/>
      <name val="Times New Roman"/>
      <family val="1"/>
    </font>
    <font>
      <sz val="10"/>
      <color rgb="FF000000"/>
      <name val="Times New Roman"/>
      <family val="1"/>
    </font>
    <font>
      <i/>
      <sz val="10"/>
      <color theme="1"/>
      <name val="Times New Roman"/>
      <family val="1"/>
    </font>
    <font>
      <b/>
      <i/>
      <u val="single"/>
      <sz val="10"/>
      <color theme="1"/>
      <name val="Times New Roman"/>
      <family val="1"/>
    </font>
    <font>
      <sz val="10"/>
      <color rgb="FFFF0000"/>
      <name val="Times New Roman"/>
      <family val="1"/>
    </font>
    <font>
      <sz val="11"/>
      <color theme="1"/>
      <name val="Arial Narrow"/>
      <family val="2"/>
    </font>
    <font>
      <b/>
      <sz val="10"/>
      <color rgb="FF000000"/>
      <name val="Times New Roman"/>
      <family val="1"/>
    </font>
    <font>
      <sz val="9"/>
      <color theme="1"/>
      <name val="Times New Roman"/>
      <family val="1"/>
    </font>
    <font>
      <b/>
      <sz val="12"/>
      <color theme="1"/>
      <name val="Times New Roman"/>
      <family val="1"/>
    </font>
    <font>
      <sz val="12"/>
      <color theme="1"/>
      <name val="Times New Roman"/>
      <family val="1"/>
    </font>
    <font>
      <i/>
      <sz val="12"/>
      <color theme="1"/>
      <name val="Times New Roman"/>
      <family val="1"/>
    </font>
    <font>
      <sz val="12"/>
      <color rgb="FFFF0000"/>
      <name val="Times New Roman"/>
      <family val="1"/>
    </font>
    <font>
      <sz val="11"/>
      <color theme="1"/>
      <name val="Times New Roman"/>
      <family val="1"/>
    </font>
    <font>
      <b/>
      <sz val="12"/>
      <color rgb="FFFF0000"/>
      <name val="Times New Roman"/>
      <family val="1"/>
    </font>
    <font>
      <sz val="12"/>
      <color rgb="FFC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style="thin"/>
      <right style="thin"/>
      <top style="thin"/>
      <bottom style="hair"/>
    </border>
    <border>
      <left style="thin"/>
      <right style="thin"/>
      <top style="hair"/>
      <bottom style="hair"/>
    </border>
    <border>
      <left style="thin"/>
      <right style="thin"/>
      <top/>
      <bottom/>
    </border>
    <border>
      <left style="thin"/>
      <right style="thin"/>
      <top style="hair"/>
      <bottom style="thin"/>
    </border>
    <border>
      <left style="thin"/>
      <right style="thin"/>
      <top style="hair"/>
      <bottom>
        <color indexed="63"/>
      </bottom>
    </border>
    <border>
      <left style="thin"/>
      <right style="thin"/>
      <top style="thin"/>
      <bottom/>
    </border>
    <border>
      <left style="thin"/>
      <right>
        <color indexed="63"/>
      </right>
      <top style="thin"/>
      <bottom style="hair"/>
    </border>
    <border>
      <left style="thin"/>
      <right>
        <color indexed="63"/>
      </right>
      <top style="hair"/>
      <bottom style="hair"/>
    </border>
    <border>
      <left style="thin"/>
      <right>
        <color indexed="63"/>
      </right>
      <top>
        <color indexed="63"/>
      </top>
      <bottom>
        <color indexed="63"/>
      </bottom>
    </border>
    <border>
      <left style="thin"/>
      <right>
        <color indexed="63"/>
      </right>
      <top style="hair"/>
      <bottom style="thin"/>
    </border>
    <border>
      <left style="thin"/>
      <right>
        <color indexed="63"/>
      </right>
      <top style="hair"/>
      <bottom>
        <color indexed="63"/>
      </bottom>
    </border>
    <border>
      <left style="thin"/>
      <right style="thin"/>
      <top/>
      <bottom style="thin"/>
    </border>
    <border>
      <left style="thin"/>
      <right style="thin"/>
      <top>
        <color indexed="63"/>
      </top>
      <bottom style="hair"/>
    </border>
    <border>
      <left style="thin">
        <color indexed="8"/>
      </left>
      <right>
        <color indexed="63"/>
      </right>
      <top style="thin">
        <color indexed="8"/>
      </top>
      <bottom style="thin">
        <color indexed="8"/>
      </bottom>
    </border>
    <border>
      <left style="thin"/>
      <right>
        <color indexed="63"/>
      </right>
      <top style="thin">
        <color indexed="8"/>
      </top>
      <bottom style="thin"/>
    </border>
    <border>
      <left/>
      <right/>
      <top style="thin"/>
      <bottom style="thin"/>
    </border>
    <border>
      <left/>
      <right style="thin"/>
      <top style="thin"/>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172" fontId="5"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210" fontId="41" fillId="0" borderId="0" applyFont="0" applyFill="0" applyBorder="0" applyAlignment="0" applyProtection="0"/>
    <xf numFmtId="182" fontId="1" fillId="0" borderId="0" applyFont="0" applyFill="0" applyBorder="0" applyAlignment="0" applyProtection="0"/>
    <xf numFmtId="187" fontId="15" fillId="0" borderId="0" applyFont="0" applyFill="0" applyBorder="0" applyAlignment="0" applyProtection="0"/>
    <xf numFmtId="184" fontId="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0" borderId="0">
      <alignment/>
      <protection/>
    </xf>
    <xf numFmtId="0" fontId="5" fillId="0" borderId="0">
      <alignment/>
      <protection/>
    </xf>
    <xf numFmtId="0" fontId="5" fillId="0" borderId="0">
      <alignment/>
      <protection/>
    </xf>
    <xf numFmtId="0" fontId="15"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868">
    <xf numFmtId="0" fontId="0" fillId="0" borderId="0" xfId="0" applyFont="1" applyAlignment="1">
      <alignment/>
    </xf>
    <xf numFmtId="0" fontId="4" fillId="0" borderId="0" xfId="64" applyFont="1" applyFill="1" applyAlignment="1">
      <alignment horizontal="center" vertical="center"/>
      <protection/>
    </xf>
    <xf numFmtId="183" fontId="4" fillId="0" borderId="10" xfId="48" applyNumberFormat="1" applyFont="1" applyFill="1" applyBorder="1" applyAlignment="1">
      <alignment horizontal="center" vertical="center"/>
    </xf>
    <xf numFmtId="183" fontId="4" fillId="0" borderId="10" xfId="45" applyNumberFormat="1" applyFont="1" applyFill="1" applyBorder="1" applyAlignment="1">
      <alignment horizontal="left" vertical="center"/>
    </xf>
    <xf numFmtId="0" fontId="4" fillId="0" borderId="10" xfId="64" applyFont="1" applyFill="1" applyBorder="1" applyAlignment="1">
      <alignment horizontal="center" vertical="center"/>
      <protection/>
    </xf>
    <xf numFmtId="0" fontId="6" fillId="0" borderId="0" xfId="64" applyFont="1" applyFill="1" applyAlignment="1">
      <alignment horizontal="center" vertical="center"/>
      <protection/>
    </xf>
    <xf numFmtId="0" fontId="8" fillId="0" borderId="0" xfId="64" applyFont="1" applyFill="1" applyAlignment="1">
      <alignment horizontal="center" vertical="center"/>
      <protection/>
    </xf>
    <xf numFmtId="0" fontId="10" fillId="0" borderId="10" xfId="64" applyFont="1" applyFill="1" applyBorder="1" applyAlignment="1">
      <alignment horizontal="left" vertical="center" wrapText="1"/>
      <protection/>
    </xf>
    <xf numFmtId="0" fontId="11" fillId="0" borderId="0" xfId="64" applyFont="1" applyFill="1" applyAlignment="1">
      <alignment horizontal="center" vertical="center"/>
      <protection/>
    </xf>
    <xf numFmtId="0" fontId="6" fillId="0" borderId="10" xfId="64" applyFont="1" applyFill="1" applyBorder="1" applyAlignment="1">
      <alignment horizontal="center" vertical="center"/>
      <protection/>
    </xf>
    <xf numFmtId="0" fontId="7" fillId="0" borderId="10" xfId="64" applyFont="1" applyFill="1" applyBorder="1" applyAlignment="1">
      <alignment vertical="center" wrapText="1"/>
      <protection/>
    </xf>
    <xf numFmtId="0" fontId="11" fillId="0" borderId="10" xfId="64" applyFont="1" applyFill="1" applyBorder="1" applyAlignment="1">
      <alignment horizontal="center" vertical="center"/>
      <protection/>
    </xf>
    <xf numFmtId="0" fontId="12" fillId="0" borderId="10" xfId="64" applyFont="1" applyFill="1" applyBorder="1" applyAlignment="1">
      <alignment horizontal="left" vertical="center" wrapText="1"/>
      <protection/>
    </xf>
    <xf numFmtId="0" fontId="7" fillId="0" borderId="0" xfId="64" applyFont="1" applyFill="1" applyAlignment="1">
      <alignment horizontal="center" vertical="center"/>
      <protection/>
    </xf>
    <xf numFmtId="0" fontId="7" fillId="0" borderId="10" xfId="64" applyFont="1" applyFill="1" applyBorder="1" applyAlignment="1">
      <alignment horizontal="center" vertical="center"/>
      <protection/>
    </xf>
    <xf numFmtId="0" fontId="8" fillId="0" borderId="10" xfId="64" applyFont="1" applyFill="1" applyBorder="1" applyAlignment="1">
      <alignment horizontal="center" vertical="center"/>
      <protection/>
    </xf>
    <xf numFmtId="0" fontId="9" fillId="0" borderId="0" xfId="64" applyFont="1" applyFill="1" applyAlignment="1">
      <alignment horizontal="center" vertical="center"/>
      <protection/>
    </xf>
    <xf numFmtId="183" fontId="7" fillId="0" borderId="0" xfId="64" applyNumberFormat="1" applyFont="1" applyFill="1" applyAlignment="1">
      <alignment horizontal="center" vertical="center"/>
      <protection/>
    </xf>
    <xf numFmtId="183" fontId="4" fillId="0" borderId="10" xfId="64" applyNumberFormat="1" applyFont="1" applyFill="1" applyBorder="1" applyAlignment="1">
      <alignment horizontal="center" vertical="center"/>
      <protection/>
    </xf>
    <xf numFmtId="183" fontId="7" fillId="0" borderId="10" xfId="64" applyNumberFormat="1" applyFont="1" applyFill="1" applyBorder="1" applyAlignment="1">
      <alignment horizontal="center" vertical="center"/>
      <protection/>
    </xf>
    <xf numFmtId="183" fontId="7" fillId="33" borderId="0" xfId="64" applyNumberFormat="1" applyFont="1" applyFill="1" applyAlignment="1">
      <alignment horizontal="center" vertical="center"/>
      <protection/>
    </xf>
    <xf numFmtId="183" fontId="7" fillId="33" borderId="10" xfId="64" applyNumberFormat="1" applyFont="1" applyFill="1" applyBorder="1" applyAlignment="1">
      <alignment horizontal="center" vertical="center"/>
      <protection/>
    </xf>
    <xf numFmtId="183" fontId="4" fillId="0" borderId="0" xfId="64" applyNumberFormat="1" applyFont="1" applyFill="1" applyAlignment="1">
      <alignment horizontal="center" vertical="center"/>
      <protection/>
    </xf>
    <xf numFmtId="0" fontId="4" fillId="0" borderId="0" xfId="64" applyFont="1" applyFill="1">
      <alignment/>
      <protection/>
    </xf>
    <xf numFmtId="0" fontId="7" fillId="0" borderId="0" xfId="64" applyFont="1" applyFill="1">
      <alignment/>
      <protection/>
    </xf>
    <xf numFmtId="0" fontId="7" fillId="0" borderId="0" xfId="64" applyFont="1" applyFill="1" applyAlignment="1">
      <alignment/>
      <protection/>
    </xf>
    <xf numFmtId="0" fontId="7" fillId="0" borderId="0" xfId="64" applyFont="1" applyFill="1" applyAlignment="1">
      <alignment horizontal="center"/>
      <protection/>
    </xf>
    <xf numFmtId="183" fontId="4" fillId="0" borderId="0" xfId="64" applyNumberFormat="1" applyFont="1" applyFill="1">
      <alignment/>
      <protection/>
    </xf>
    <xf numFmtId="0" fontId="82" fillId="0" borderId="0" xfId="0" applyFont="1" applyAlignment="1">
      <alignment/>
    </xf>
    <xf numFmtId="0" fontId="82" fillId="0" borderId="0" xfId="0" applyFont="1" applyAlignment="1">
      <alignment/>
    </xf>
    <xf numFmtId="171" fontId="82" fillId="0" borderId="0" xfId="42" applyNumberFormat="1" applyFont="1" applyAlignment="1">
      <alignment/>
    </xf>
    <xf numFmtId="171" fontId="82" fillId="34" borderId="0" xfId="42" applyNumberFormat="1" applyFont="1" applyFill="1" applyAlignment="1">
      <alignment horizontal="center"/>
    </xf>
    <xf numFmtId="171" fontId="82" fillId="0" borderId="0" xfId="42" applyNumberFormat="1" applyFont="1" applyAlignment="1">
      <alignment/>
    </xf>
    <xf numFmtId="0" fontId="83" fillId="0" borderId="0" xfId="0" applyFont="1" applyAlignment="1">
      <alignment/>
    </xf>
    <xf numFmtId="0" fontId="82" fillId="0" borderId="0" xfId="0" applyFont="1" applyAlignment="1">
      <alignment horizontal="center"/>
    </xf>
    <xf numFmtId="171" fontId="82" fillId="0" borderId="0" xfId="42" applyNumberFormat="1" applyFont="1" applyAlignment="1">
      <alignment horizontal="center"/>
    </xf>
    <xf numFmtId="171" fontId="82" fillId="0" borderId="11" xfId="42" applyNumberFormat="1" applyFont="1" applyBorder="1" applyAlignment="1">
      <alignment horizontal="center"/>
    </xf>
    <xf numFmtId="0" fontId="82" fillId="0" borderId="0" xfId="0" applyFont="1" applyAlignment="1">
      <alignment horizontal="center" vertical="center"/>
    </xf>
    <xf numFmtId="171" fontId="82" fillId="0" borderId="10" xfId="42" applyNumberFormat="1" applyFont="1" applyBorder="1" applyAlignment="1">
      <alignment horizontal="center" vertical="center" wrapText="1"/>
    </xf>
    <xf numFmtId="171" fontId="82" fillId="0" borderId="12" xfId="42" applyNumberFormat="1" applyFont="1" applyBorder="1" applyAlignment="1">
      <alignment horizontal="center" vertical="center" wrapText="1"/>
    </xf>
    <xf numFmtId="43" fontId="82" fillId="0" borderId="0" xfId="0" applyNumberFormat="1" applyFont="1" applyAlignment="1">
      <alignment horizontal="center" vertical="center"/>
    </xf>
    <xf numFmtId="183" fontId="83" fillId="0" borderId="13" xfId="0" applyNumberFormat="1" applyFont="1" applyBorder="1" applyAlignment="1">
      <alignment horizontal="center" vertical="center"/>
    </xf>
    <xf numFmtId="183" fontId="83" fillId="0" borderId="13" xfId="0" applyNumberFormat="1" applyFont="1" applyBorder="1" applyAlignment="1" quotePrefix="1">
      <alignment horizontal="center" vertical="center"/>
    </xf>
    <xf numFmtId="183" fontId="83" fillId="0" borderId="13" xfId="42" applyNumberFormat="1" applyFont="1" applyBorder="1" applyAlignment="1" quotePrefix="1">
      <alignment horizontal="center" vertical="center" wrapText="1"/>
    </xf>
    <xf numFmtId="183" fontId="83" fillId="34" borderId="13" xfId="42" applyNumberFormat="1" applyFont="1" applyFill="1" applyBorder="1" applyAlignment="1" quotePrefix="1">
      <alignment horizontal="center" vertical="center" wrapText="1"/>
    </xf>
    <xf numFmtId="183" fontId="83" fillId="0" borderId="13" xfId="0" applyNumberFormat="1" applyFont="1" applyBorder="1" applyAlignment="1" quotePrefix="1">
      <alignment horizontal="center" vertical="center" wrapText="1"/>
    </xf>
    <xf numFmtId="183" fontId="83" fillId="0" borderId="0" xfId="0" applyNumberFormat="1" applyFont="1" applyAlignment="1">
      <alignment horizontal="center" vertical="center"/>
    </xf>
    <xf numFmtId="183" fontId="82" fillId="0" borderId="14" xfId="0" applyNumberFormat="1" applyFont="1" applyBorder="1" applyAlignment="1">
      <alignment horizontal="center" vertical="center"/>
    </xf>
    <xf numFmtId="43" fontId="82" fillId="34" borderId="14" xfId="42" applyFont="1" applyFill="1" applyBorder="1" applyAlignment="1" quotePrefix="1">
      <alignment horizontal="center" vertical="center" wrapText="1"/>
    </xf>
    <xf numFmtId="183" fontId="82" fillId="0" borderId="0" xfId="0" applyNumberFormat="1" applyFont="1" applyAlignment="1">
      <alignment horizontal="center" vertical="center"/>
    </xf>
    <xf numFmtId="0" fontId="82" fillId="0" borderId="14" xfId="0" applyFont="1" applyBorder="1" applyAlignment="1">
      <alignment horizontal="center" vertical="center" wrapText="1"/>
    </xf>
    <xf numFmtId="0" fontId="82" fillId="0" borderId="14" xfId="0" applyFont="1" applyBorder="1" applyAlignment="1">
      <alignment vertical="center" wrapText="1"/>
    </xf>
    <xf numFmtId="43" fontId="82" fillId="0" borderId="14" xfId="42" applyFont="1" applyBorder="1" applyAlignment="1" quotePrefix="1">
      <alignment horizontal="center" vertical="center" wrapText="1"/>
    </xf>
    <xf numFmtId="0" fontId="82" fillId="34" borderId="14" xfId="0" applyFont="1" applyFill="1" applyBorder="1" applyAlignment="1">
      <alignment horizontal="center" vertical="center"/>
    </xf>
    <xf numFmtId="0" fontId="82" fillId="34" borderId="14" xfId="0" applyFont="1" applyFill="1" applyBorder="1" applyAlignment="1">
      <alignment vertical="center"/>
    </xf>
    <xf numFmtId="171" fontId="82" fillId="34" borderId="14" xfId="42" applyNumberFormat="1" applyFont="1" applyFill="1" applyBorder="1" applyAlignment="1">
      <alignment horizontal="center" vertical="center"/>
    </xf>
    <xf numFmtId="171" fontId="83" fillId="34" borderId="14" xfId="42" applyNumberFormat="1" applyFont="1" applyFill="1" applyBorder="1" applyAlignment="1">
      <alignment horizontal="center" vertical="center"/>
    </xf>
    <xf numFmtId="171" fontId="14" fillId="34" borderId="14" xfId="42" applyNumberFormat="1" applyFont="1" applyFill="1" applyBorder="1" applyAlignment="1">
      <alignment horizontal="center" vertical="center"/>
    </xf>
    <xf numFmtId="0" fontId="83" fillId="34" borderId="14" xfId="0" applyFont="1" applyFill="1" applyBorder="1" applyAlignment="1">
      <alignment horizontal="center" vertical="center"/>
    </xf>
    <xf numFmtId="0" fontId="83" fillId="34" borderId="14" xfId="0" applyFont="1" applyFill="1" applyBorder="1" applyAlignment="1">
      <alignment vertical="center"/>
    </xf>
    <xf numFmtId="0" fontId="82" fillId="34" borderId="0" xfId="0" applyFont="1" applyFill="1" applyAlignment="1">
      <alignment horizontal="center" vertical="center"/>
    </xf>
    <xf numFmtId="0" fontId="83" fillId="34" borderId="0" xfId="0" applyFont="1" applyFill="1" applyAlignment="1">
      <alignment horizontal="center" vertical="center"/>
    </xf>
    <xf numFmtId="183" fontId="14" fillId="34" borderId="14" xfId="46" applyNumberFormat="1" applyFont="1" applyFill="1" applyBorder="1" applyAlignment="1">
      <alignment vertical="center"/>
    </xf>
    <xf numFmtId="0" fontId="84" fillId="34" borderId="0" xfId="0" applyFont="1" applyFill="1" applyAlignment="1">
      <alignment horizontal="center" vertical="center"/>
    </xf>
    <xf numFmtId="0" fontId="83" fillId="0" borderId="0" xfId="0" applyFont="1" applyAlignment="1">
      <alignment/>
    </xf>
    <xf numFmtId="171" fontId="83" fillId="0" borderId="0" xfId="42" applyNumberFormat="1" applyFont="1" applyAlignment="1">
      <alignment/>
    </xf>
    <xf numFmtId="171" fontId="83" fillId="34" borderId="0" xfId="42" applyNumberFormat="1" applyFont="1" applyFill="1" applyAlignment="1">
      <alignment horizontal="center"/>
    </xf>
    <xf numFmtId="183" fontId="3" fillId="0" borderId="10" xfId="44" applyNumberFormat="1" applyFont="1" applyBorder="1" applyAlignment="1">
      <alignment horizontal="left" vertical="center"/>
    </xf>
    <xf numFmtId="4" fontId="3" fillId="0" borderId="10" xfId="42" applyNumberFormat="1" applyFont="1" applyBorder="1" applyAlignment="1">
      <alignment vertical="center"/>
    </xf>
    <xf numFmtId="43" fontId="83" fillId="0" borderId="10" xfId="42" applyFont="1" applyBorder="1" applyAlignment="1" quotePrefix="1">
      <alignment horizontal="center" vertical="center" wrapText="1"/>
    </xf>
    <xf numFmtId="193" fontId="14" fillId="0" borderId="10" xfId="45" applyNumberFormat="1" applyFont="1" applyBorder="1" applyAlignment="1">
      <alignment horizontal="right" vertical="center"/>
    </xf>
    <xf numFmtId="185" fontId="14" fillId="0" borderId="10" xfId="45" applyNumberFormat="1" applyFont="1" applyBorder="1" applyAlignment="1">
      <alignment horizontal="center" vertical="center"/>
    </xf>
    <xf numFmtId="190" fontId="3" fillId="0" borderId="10" xfId="42" applyNumberFormat="1" applyFont="1" applyBorder="1" applyAlignment="1">
      <alignment vertical="center"/>
    </xf>
    <xf numFmtId="171" fontId="83" fillId="34" borderId="10" xfId="42" applyNumberFormat="1" applyFont="1" applyFill="1" applyBorder="1" applyAlignment="1">
      <alignment horizontal="center" vertical="center"/>
    </xf>
    <xf numFmtId="0" fontId="12" fillId="0" borderId="10" xfId="67" applyFont="1" applyBorder="1" applyAlignment="1">
      <alignment horizontal="left" vertical="center"/>
      <protection/>
    </xf>
    <xf numFmtId="0" fontId="12" fillId="0" borderId="10" xfId="67" applyFont="1" applyBorder="1" applyAlignment="1">
      <alignment horizontal="right" vertical="center"/>
      <protection/>
    </xf>
    <xf numFmtId="0" fontId="83" fillId="0" borderId="10" xfId="0" applyFont="1" applyBorder="1" applyAlignment="1">
      <alignment horizontal="center" vertical="center" wrapText="1"/>
    </xf>
    <xf numFmtId="43" fontId="83" fillId="0" borderId="10" xfId="42" applyNumberFormat="1" applyFont="1" applyBorder="1" applyAlignment="1" quotePrefix="1">
      <alignment horizontal="center" vertical="center" wrapText="1"/>
    </xf>
    <xf numFmtId="185" fontId="83" fillId="0" borderId="0" xfId="0" applyNumberFormat="1" applyFont="1" applyAlignment="1">
      <alignment horizontal="center" vertical="center"/>
    </xf>
    <xf numFmtId="181" fontId="82" fillId="0" borderId="0" xfId="42" applyNumberFormat="1" applyFont="1" applyAlignment="1">
      <alignment/>
    </xf>
    <xf numFmtId="181" fontId="82" fillId="0" borderId="0" xfId="42" applyNumberFormat="1" applyFont="1" applyAlignment="1">
      <alignment/>
    </xf>
    <xf numFmtId="181" fontId="82" fillId="0" borderId="0" xfId="42" applyNumberFormat="1" applyFont="1" applyAlignment="1">
      <alignment horizontal="center"/>
    </xf>
    <xf numFmtId="181" fontId="83" fillId="0" borderId="13" xfId="42" applyNumberFormat="1" applyFont="1" applyBorder="1" applyAlignment="1">
      <alignment horizontal="center" vertical="center" wrapText="1"/>
    </xf>
    <xf numFmtId="181" fontId="82" fillId="34" borderId="14" xfId="42" applyNumberFormat="1" applyFont="1" applyFill="1" applyBorder="1" applyAlignment="1" quotePrefix="1">
      <alignment horizontal="center" vertical="center" wrapText="1"/>
    </xf>
    <xf numFmtId="181" fontId="82" fillId="0" borderId="14" xfId="42" applyNumberFormat="1" applyFont="1" applyBorder="1" applyAlignment="1" quotePrefix="1">
      <alignment horizontal="center" vertical="center" wrapText="1"/>
    </xf>
    <xf numFmtId="181" fontId="82" fillId="34" borderId="14" xfId="42" applyNumberFormat="1" applyFont="1" applyFill="1" applyBorder="1" applyAlignment="1">
      <alignment horizontal="center" vertical="center"/>
    </xf>
    <xf numFmtId="181" fontId="83" fillId="34" borderId="14" xfId="42" applyNumberFormat="1" applyFont="1" applyFill="1" applyBorder="1" applyAlignment="1">
      <alignment horizontal="center" vertical="center"/>
    </xf>
    <xf numFmtId="181" fontId="14" fillId="34" borderId="10" xfId="42" applyNumberFormat="1" applyFont="1" applyFill="1" applyBorder="1" applyAlignment="1">
      <alignment horizontal="center" vertical="center"/>
    </xf>
    <xf numFmtId="181" fontId="83" fillId="0" borderId="0" xfId="42" applyNumberFormat="1" applyFont="1" applyAlignment="1">
      <alignment/>
    </xf>
    <xf numFmtId="0" fontId="82" fillId="0" borderId="15" xfId="0" applyFont="1" applyBorder="1" applyAlignment="1">
      <alignment horizontal="center" vertical="center" wrapText="1"/>
    </xf>
    <xf numFmtId="0" fontId="82" fillId="0" borderId="15" xfId="0" applyFont="1" applyBorder="1" applyAlignment="1">
      <alignment vertical="center" wrapText="1"/>
    </xf>
    <xf numFmtId="43" fontId="82" fillId="0" borderId="15" xfId="42" applyFont="1" applyBorder="1" applyAlignment="1" quotePrefix="1">
      <alignment horizontal="center" vertical="center" wrapText="1"/>
    </xf>
    <xf numFmtId="183" fontId="14" fillId="35" borderId="10" xfId="44" applyNumberFormat="1" applyFont="1" applyFill="1" applyBorder="1" applyAlignment="1">
      <alignment horizontal="left" vertical="center"/>
    </xf>
    <xf numFmtId="171" fontId="82" fillId="34" borderId="10" xfId="42" applyNumberFormat="1" applyFont="1" applyFill="1" applyBorder="1" applyAlignment="1">
      <alignment horizontal="center" vertical="center"/>
    </xf>
    <xf numFmtId="171" fontId="14" fillId="35" borderId="10" xfId="44" applyNumberFormat="1" applyFont="1" applyFill="1" applyBorder="1" applyAlignment="1">
      <alignment horizontal="center" vertical="center"/>
    </xf>
    <xf numFmtId="183" fontId="82" fillId="0" borderId="10" xfId="0" applyNumberFormat="1" applyFont="1" applyBorder="1" applyAlignment="1">
      <alignment horizontal="center" vertical="center"/>
    </xf>
    <xf numFmtId="0" fontId="83" fillId="34" borderId="10" xfId="0" applyFont="1" applyFill="1" applyBorder="1" applyAlignment="1">
      <alignment horizontal="center" vertical="center"/>
    </xf>
    <xf numFmtId="180" fontId="83" fillId="0" borderId="10" xfId="42" applyNumberFormat="1" applyFont="1" applyBorder="1" applyAlignment="1" quotePrefix="1">
      <alignment horizontal="center" vertical="center" wrapText="1"/>
    </xf>
    <xf numFmtId="0" fontId="85" fillId="0" borderId="10" xfId="0" applyFont="1" applyBorder="1" applyAlignment="1" quotePrefix="1">
      <alignment horizontal="center" wrapText="1"/>
    </xf>
    <xf numFmtId="0" fontId="85" fillId="0" borderId="10" xfId="0" applyFont="1" applyBorder="1" applyAlignment="1">
      <alignment wrapText="1"/>
    </xf>
    <xf numFmtId="43" fontId="83" fillId="34" borderId="10" xfId="42" applyFont="1" applyFill="1" applyBorder="1" applyAlignment="1" quotePrefix="1">
      <alignment horizontal="center" vertical="center" wrapText="1"/>
    </xf>
    <xf numFmtId="181" fontId="83" fillId="34" borderId="10" xfId="42" applyNumberFormat="1" applyFont="1" applyFill="1" applyBorder="1" applyAlignment="1">
      <alignment horizontal="right" vertical="center"/>
    </xf>
    <xf numFmtId="171" fontId="86" fillId="34" borderId="10" xfId="42" applyNumberFormat="1" applyFont="1" applyFill="1" applyBorder="1" applyAlignment="1">
      <alignment horizontal="center" vertical="center"/>
    </xf>
    <xf numFmtId="43" fontId="83" fillId="34" borderId="10" xfId="42" applyFont="1" applyFill="1" applyBorder="1" applyAlignment="1">
      <alignment horizontal="right" vertical="center"/>
    </xf>
    <xf numFmtId="43" fontId="83" fillId="34" borderId="10" xfId="0" applyNumberFormat="1" applyFont="1" applyFill="1" applyBorder="1" applyAlignment="1">
      <alignment horizontal="center" vertical="center"/>
    </xf>
    <xf numFmtId="0" fontId="83" fillId="34" borderId="10" xfId="0" applyFont="1" applyFill="1" applyBorder="1" applyAlignment="1">
      <alignment vertical="center"/>
    </xf>
    <xf numFmtId="183" fontId="82" fillId="0" borderId="0" xfId="0" applyNumberFormat="1" applyFont="1" applyBorder="1" applyAlignment="1">
      <alignment horizontal="center" vertical="center"/>
    </xf>
    <xf numFmtId="183" fontId="82" fillId="34" borderId="14" xfId="42" applyNumberFormat="1" applyFont="1" applyFill="1" applyBorder="1" applyAlignment="1">
      <alignment horizontal="center" vertical="center"/>
    </xf>
    <xf numFmtId="196" fontId="83" fillId="34" borderId="14" xfId="42" applyNumberFormat="1" applyFont="1" applyFill="1" applyBorder="1" applyAlignment="1">
      <alignment horizontal="center" vertical="center"/>
    </xf>
    <xf numFmtId="183" fontId="13" fillId="34" borderId="14" xfId="46" applyNumberFormat="1" applyFont="1" applyFill="1" applyBorder="1" applyAlignment="1">
      <alignment vertical="center"/>
    </xf>
    <xf numFmtId="0" fontId="83" fillId="34" borderId="14" xfId="0" applyFont="1" applyFill="1" applyBorder="1" applyAlignment="1">
      <alignment horizontal="left" vertical="center"/>
    </xf>
    <xf numFmtId="183" fontId="14" fillId="34" borderId="14" xfId="46" applyNumberFormat="1" applyFont="1" applyFill="1" applyBorder="1" applyAlignment="1">
      <alignment horizontal="left" vertical="center"/>
    </xf>
    <xf numFmtId="0" fontId="87" fillId="0" borderId="14" xfId="0" applyFont="1" applyBorder="1" applyAlignment="1">
      <alignment vertical="center" wrapText="1"/>
    </xf>
    <xf numFmtId="183" fontId="14" fillId="0" borderId="10" xfId="44" applyNumberFormat="1" applyFont="1" applyBorder="1" applyAlignment="1">
      <alignment horizontal="left" vertical="center"/>
    </xf>
    <xf numFmtId="4" fontId="14" fillId="0" borderId="10" xfId="42" applyNumberFormat="1" applyFont="1" applyBorder="1" applyAlignment="1">
      <alignment horizontal="right" vertical="center"/>
    </xf>
    <xf numFmtId="191" fontId="14" fillId="0" borderId="10" xfId="44" applyNumberFormat="1" applyFont="1" applyBorder="1" applyAlignment="1">
      <alignment horizontal="right" vertical="center"/>
    </xf>
    <xf numFmtId="190" fontId="14" fillId="0" borderId="10" xfId="44" applyNumberFormat="1" applyFont="1" applyBorder="1" applyAlignment="1">
      <alignment horizontal="right" vertical="center"/>
    </xf>
    <xf numFmtId="183" fontId="14" fillId="34" borderId="10" xfId="42" applyNumberFormat="1" applyFont="1" applyFill="1" applyBorder="1" applyAlignment="1">
      <alignment horizontal="center" vertical="center"/>
    </xf>
    <xf numFmtId="43" fontId="82" fillId="34" borderId="0" xfId="42" applyFont="1" applyFill="1" applyAlignment="1">
      <alignment horizontal="center" vertical="center"/>
    </xf>
    <xf numFmtId="0" fontId="83" fillId="34" borderId="15" xfId="0" applyFont="1" applyFill="1" applyBorder="1" applyAlignment="1">
      <alignment horizontal="center" vertical="center"/>
    </xf>
    <xf numFmtId="183" fontId="14" fillId="35" borderId="15" xfId="44" applyNumberFormat="1" applyFont="1" applyFill="1" applyBorder="1" applyAlignment="1">
      <alignment horizontal="left" vertical="center"/>
    </xf>
    <xf numFmtId="171" fontId="82" fillId="34" borderId="15" xfId="42" applyNumberFormat="1" applyFont="1" applyFill="1" applyBorder="1" applyAlignment="1">
      <alignment horizontal="center" vertical="center"/>
    </xf>
    <xf numFmtId="171" fontId="14" fillId="35" borderId="15" xfId="44" applyNumberFormat="1" applyFont="1" applyFill="1" applyBorder="1" applyAlignment="1">
      <alignment horizontal="center" vertical="center"/>
    </xf>
    <xf numFmtId="193" fontId="14" fillId="0" borderId="15" xfId="45" applyNumberFormat="1" applyFont="1" applyBorder="1" applyAlignment="1">
      <alignment horizontal="right" vertical="center"/>
    </xf>
    <xf numFmtId="171" fontId="83" fillId="34" borderId="15" xfId="42" applyNumberFormat="1" applyFont="1" applyFill="1" applyBorder="1" applyAlignment="1">
      <alignment horizontal="center" vertical="center"/>
    </xf>
    <xf numFmtId="183" fontId="83" fillId="0" borderId="0" xfId="0" applyNumberFormat="1" applyFont="1" applyAlignment="1">
      <alignment horizontal="center" vertical="center"/>
    </xf>
    <xf numFmtId="194" fontId="82" fillId="34" borderId="14" xfId="42" applyNumberFormat="1" applyFont="1" applyFill="1" applyBorder="1" applyAlignment="1">
      <alignment horizontal="center" vertical="center"/>
    </xf>
    <xf numFmtId="199" fontId="82" fillId="34" borderId="0" xfId="0" applyNumberFormat="1" applyFont="1" applyFill="1" applyAlignment="1">
      <alignment horizontal="center" vertical="center"/>
    </xf>
    <xf numFmtId="0" fontId="13" fillId="34" borderId="14" xfId="0" applyFont="1" applyFill="1" applyBorder="1" applyAlignment="1">
      <alignment wrapText="1"/>
    </xf>
    <xf numFmtId="196" fontId="82" fillId="34" borderId="14" xfId="42" applyNumberFormat="1" applyFont="1" applyFill="1" applyBorder="1" applyAlignment="1">
      <alignment horizontal="center" vertical="center"/>
    </xf>
    <xf numFmtId="43" fontId="83" fillId="34" borderId="0" xfId="42" applyFont="1" applyFill="1" applyAlignment="1">
      <alignment horizontal="center" vertical="center"/>
    </xf>
    <xf numFmtId="43" fontId="83" fillId="34" borderId="14" xfId="42" applyFont="1" applyFill="1" applyBorder="1" applyAlignment="1">
      <alignment horizontal="left" vertical="center"/>
    </xf>
    <xf numFmtId="43" fontId="83" fillId="34" borderId="14" xfId="42" applyFont="1" applyFill="1" applyBorder="1" applyAlignment="1">
      <alignment horizontal="center" vertical="center"/>
    </xf>
    <xf numFmtId="196" fontId="83" fillId="34" borderId="0" xfId="0" applyNumberFormat="1" applyFont="1" applyFill="1" applyAlignment="1">
      <alignment horizontal="center" vertical="center"/>
    </xf>
    <xf numFmtId="43" fontId="82" fillId="34" borderId="14" xfId="42" applyFont="1" applyFill="1" applyBorder="1" applyAlignment="1">
      <alignment horizontal="center" vertical="center"/>
    </xf>
    <xf numFmtId="0" fontId="83" fillId="0" borderId="15" xfId="0" applyFont="1" applyBorder="1" applyAlignment="1">
      <alignment horizontal="center" vertical="center" wrapText="1"/>
    </xf>
    <xf numFmtId="0" fontId="83" fillId="0" borderId="15" xfId="0" applyFont="1" applyBorder="1" applyAlignment="1">
      <alignment vertical="center" wrapText="1"/>
    </xf>
    <xf numFmtId="171" fontId="88" fillId="34" borderId="14" xfId="42" applyNumberFormat="1" applyFont="1" applyFill="1" applyBorder="1" applyAlignment="1">
      <alignment horizontal="center" vertical="center"/>
    </xf>
    <xf numFmtId="183" fontId="4" fillId="0" borderId="0" xfId="48" applyNumberFormat="1" applyFont="1" applyFill="1" applyBorder="1" applyAlignment="1">
      <alignment horizontal="center" vertical="center"/>
    </xf>
    <xf numFmtId="183" fontId="83" fillId="0" borderId="0" xfId="0" applyNumberFormat="1" applyFont="1" applyAlignment="1">
      <alignment horizontal="center" vertical="center"/>
    </xf>
    <xf numFmtId="183" fontId="83" fillId="0" borderId="0" xfId="0" applyNumberFormat="1" applyFont="1" applyAlignment="1">
      <alignment horizontal="center" vertical="center"/>
    </xf>
    <xf numFmtId="0" fontId="89" fillId="34" borderId="0" xfId="0" applyFont="1" applyFill="1" applyAlignment="1">
      <alignment horizontal="center" vertical="center"/>
    </xf>
    <xf numFmtId="0" fontId="13" fillId="34" borderId="14" xfId="0" applyFont="1" applyFill="1" applyBorder="1" applyAlignment="1">
      <alignment horizontal="center" vertical="center"/>
    </xf>
    <xf numFmtId="171" fontId="13" fillId="34" borderId="14" xfId="42" applyNumberFormat="1" applyFont="1" applyFill="1" applyBorder="1" applyAlignment="1">
      <alignment horizontal="center" vertical="center"/>
    </xf>
    <xf numFmtId="183" fontId="13" fillId="34" borderId="14" xfId="42" applyNumberFormat="1" applyFont="1" applyFill="1" applyBorder="1" applyAlignment="1">
      <alignment horizontal="center" vertical="center"/>
    </xf>
    <xf numFmtId="0" fontId="14" fillId="0" borderId="10" xfId="64" applyFont="1" applyFill="1" applyBorder="1" applyAlignment="1">
      <alignment horizontal="center" vertical="center"/>
      <protection/>
    </xf>
    <xf numFmtId="183" fontId="14" fillId="0" borderId="10" xfId="45" applyNumberFormat="1" applyFont="1" applyFill="1" applyBorder="1" applyAlignment="1">
      <alignment horizontal="left" vertical="center"/>
    </xf>
    <xf numFmtId="171" fontId="14" fillId="0" borderId="10" xfId="48" applyNumberFormat="1" applyFont="1" applyFill="1" applyBorder="1" applyAlignment="1">
      <alignment horizontal="center" vertical="center"/>
    </xf>
    <xf numFmtId="185" fontId="14" fillId="0" borderId="10" xfId="48" applyNumberFormat="1" applyFont="1" applyFill="1" applyBorder="1" applyAlignment="1">
      <alignment horizontal="center" vertical="center"/>
    </xf>
    <xf numFmtId="171" fontId="14" fillId="0" borderId="10" xfId="48" applyNumberFormat="1" applyFont="1" applyFill="1" applyBorder="1" applyAlignment="1">
      <alignment horizontal="right" vertical="center"/>
    </xf>
    <xf numFmtId="181" fontId="14" fillId="0" borderId="10" xfId="42" applyNumberFormat="1" applyFont="1" applyFill="1" applyBorder="1" applyAlignment="1">
      <alignment horizontal="center" vertical="center"/>
    </xf>
    <xf numFmtId="183" fontId="14" fillId="0" borderId="15" xfId="45" applyNumberFormat="1" applyFont="1" applyFill="1" applyBorder="1" applyAlignment="1">
      <alignment horizontal="left" vertical="center"/>
    </xf>
    <xf numFmtId="171" fontId="14" fillId="0" borderId="15" xfId="48" applyNumberFormat="1" applyFont="1" applyFill="1" applyBorder="1" applyAlignment="1">
      <alignment horizontal="center" vertical="center"/>
    </xf>
    <xf numFmtId="185" fontId="14" fillId="0" borderId="15" xfId="48" applyNumberFormat="1" applyFont="1" applyFill="1" applyBorder="1" applyAlignment="1">
      <alignment horizontal="center" vertical="center"/>
    </xf>
    <xf numFmtId="171" fontId="14" fillId="0" borderId="15" xfId="48" applyNumberFormat="1" applyFont="1" applyFill="1" applyBorder="1" applyAlignment="1">
      <alignment horizontal="right" vertical="center"/>
    </xf>
    <xf numFmtId="0" fontId="13" fillId="0" borderId="10" xfId="64" applyFont="1" applyFill="1" applyBorder="1" applyAlignment="1">
      <alignment horizontal="center" vertical="center"/>
      <protection/>
    </xf>
    <xf numFmtId="43" fontId="13" fillId="34" borderId="14" xfId="42" applyNumberFormat="1" applyFont="1" applyFill="1" applyBorder="1" applyAlignment="1">
      <alignment horizontal="center" vertical="center"/>
    </xf>
    <xf numFmtId="0" fontId="13" fillId="0" borderId="15" xfId="64" applyFont="1" applyFill="1" applyBorder="1" applyAlignment="1">
      <alignment horizontal="center" vertical="center"/>
      <protection/>
    </xf>
    <xf numFmtId="0" fontId="16" fillId="34" borderId="14" xfId="0" applyFont="1" applyFill="1" applyBorder="1" applyAlignment="1">
      <alignment vertical="center"/>
    </xf>
    <xf numFmtId="4" fontId="16" fillId="34" borderId="14" xfId="42" applyNumberFormat="1" applyFont="1" applyFill="1" applyBorder="1" applyAlignment="1">
      <alignment horizontal="center" vertical="center"/>
    </xf>
    <xf numFmtId="43" fontId="14" fillId="34" borderId="14" xfId="42" applyNumberFormat="1" applyFont="1" applyFill="1" applyBorder="1" applyAlignment="1">
      <alignment horizontal="center" vertical="center"/>
    </xf>
    <xf numFmtId="3" fontId="16" fillId="34" borderId="14" xfId="42" applyNumberFormat="1" applyFont="1" applyFill="1" applyBorder="1" applyAlignment="1">
      <alignment horizontal="right" vertical="center"/>
    </xf>
    <xf numFmtId="0" fontId="16" fillId="34" borderId="14" xfId="0" applyFont="1" applyFill="1" applyBorder="1" applyAlignment="1">
      <alignment horizontal="center" vertical="center"/>
    </xf>
    <xf numFmtId="3" fontId="16" fillId="34" borderId="14" xfId="42" applyNumberFormat="1" applyFont="1" applyFill="1" applyBorder="1" applyAlignment="1">
      <alignment horizontal="center" vertical="center"/>
    </xf>
    <xf numFmtId="171" fontId="16" fillId="34" borderId="14" xfId="42" applyNumberFormat="1" applyFont="1" applyFill="1" applyBorder="1" applyAlignment="1">
      <alignment horizontal="center" vertical="center"/>
    </xf>
    <xf numFmtId="171" fontId="16" fillId="34" borderId="14" xfId="42" applyNumberFormat="1" applyFont="1" applyFill="1" applyBorder="1" applyAlignment="1">
      <alignment horizontal="center" vertical="center" wrapText="1"/>
    </xf>
    <xf numFmtId="0" fontId="16" fillId="34" borderId="14" xfId="0" applyFont="1" applyFill="1" applyBorder="1" applyAlignment="1">
      <alignment horizontal="left" vertical="center"/>
    </xf>
    <xf numFmtId="0" fontId="16" fillId="34" borderId="16" xfId="0" applyFont="1" applyFill="1" applyBorder="1" applyAlignment="1">
      <alignment horizontal="center" vertical="center"/>
    </xf>
    <xf numFmtId="0" fontId="16" fillId="34" borderId="16" xfId="0" applyFont="1" applyFill="1" applyBorder="1" applyAlignment="1">
      <alignment horizontal="left" vertical="center"/>
    </xf>
    <xf numFmtId="3" fontId="16" fillId="34" borderId="16" xfId="42" applyNumberFormat="1" applyFont="1" applyFill="1" applyBorder="1" applyAlignment="1">
      <alignment horizontal="center" vertical="center"/>
    </xf>
    <xf numFmtId="4" fontId="16" fillId="34" borderId="16" xfId="42" applyNumberFormat="1" applyFont="1" applyFill="1" applyBorder="1" applyAlignment="1">
      <alignment horizontal="center" vertical="center"/>
    </xf>
    <xf numFmtId="3" fontId="16" fillId="34" borderId="16" xfId="42" applyNumberFormat="1" applyFont="1" applyFill="1" applyBorder="1" applyAlignment="1">
      <alignment horizontal="right" vertical="center"/>
    </xf>
    <xf numFmtId="171" fontId="16" fillId="34" borderId="16" xfId="42" applyNumberFormat="1" applyFont="1" applyFill="1" applyBorder="1" applyAlignment="1">
      <alignment horizontal="center" vertical="center"/>
    </xf>
    <xf numFmtId="0" fontId="16" fillId="34" borderId="17" xfId="0" applyFont="1" applyFill="1" applyBorder="1" applyAlignment="1">
      <alignment horizontal="center" vertical="center"/>
    </xf>
    <xf numFmtId="0" fontId="16" fillId="34" borderId="17" xfId="0" applyFont="1" applyFill="1" applyBorder="1" applyAlignment="1">
      <alignment horizontal="left" vertical="center"/>
    </xf>
    <xf numFmtId="3" fontId="16" fillId="34" borderId="17" xfId="42" applyNumberFormat="1" applyFont="1" applyFill="1" applyBorder="1" applyAlignment="1">
      <alignment horizontal="center" vertical="center"/>
    </xf>
    <xf numFmtId="4" fontId="16" fillId="34" borderId="17" xfId="42" applyNumberFormat="1" applyFont="1" applyFill="1" applyBorder="1" applyAlignment="1">
      <alignment horizontal="center" vertical="center"/>
    </xf>
    <xf numFmtId="171" fontId="16" fillId="34" borderId="17" xfId="42" applyNumberFormat="1" applyFont="1" applyFill="1" applyBorder="1" applyAlignment="1">
      <alignment horizontal="center" vertical="center"/>
    </xf>
    <xf numFmtId="0" fontId="13" fillId="34" borderId="14" xfId="0" applyFont="1" applyFill="1" applyBorder="1" applyAlignment="1">
      <alignment vertical="center"/>
    </xf>
    <xf numFmtId="0" fontId="14" fillId="34" borderId="14" xfId="0" applyFont="1" applyFill="1" applyBorder="1" applyAlignment="1">
      <alignment horizontal="center" vertical="center"/>
    </xf>
    <xf numFmtId="0" fontId="14" fillId="34" borderId="14" xfId="0" applyFont="1" applyFill="1" applyBorder="1" applyAlignment="1">
      <alignment horizontal="left" vertical="center"/>
    </xf>
    <xf numFmtId="196" fontId="14" fillId="34" borderId="14" xfId="42" applyNumberFormat="1" applyFont="1" applyFill="1" applyBorder="1" applyAlignment="1">
      <alignment horizontal="center" vertical="center"/>
    </xf>
    <xf numFmtId="185" fontId="14" fillId="34" borderId="14" xfId="42" applyNumberFormat="1" applyFont="1" applyFill="1" applyBorder="1" applyAlignment="1">
      <alignment horizontal="center" vertical="center"/>
    </xf>
    <xf numFmtId="0" fontId="14" fillId="34" borderId="0" xfId="0" applyFont="1" applyFill="1" applyAlignment="1">
      <alignment horizontal="left" vertical="center"/>
    </xf>
    <xf numFmtId="196" fontId="14" fillId="34" borderId="14" xfId="42" applyNumberFormat="1" applyFont="1" applyFill="1" applyBorder="1" applyAlignment="1">
      <alignment horizontal="right" vertical="center"/>
    </xf>
    <xf numFmtId="0" fontId="14" fillId="34" borderId="14" xfId="0" applyFont="1" applyFill="1" applyBorder="1" applyAlignment="1">
      <alignment vertical="center"/>
    </xf>
    <xf numFmtId="0" fontId="14" fillId="34" borderId="10" xfId="0" applyFont="1" applyFill="1" applyBorder="1" applyAlignment="1">
      <alignment horizontal="center" vertical="center"/>
    </xf>
    <xf numFmtId="171" fontId="13" fillId="34" borderId="10" xfId="42" applyNumberFormat="1" applyFont="1" applyFill="1" applyBorder="1" applyAlignment="1">
      <alignment horizontal="center" vertical="center"/>
    </xf>
    <xf numFmtId="171" fontId="14" fillId="34" borderId="10" xfId="42" applyNumberFormat="1" applyFont="1" applyFill="1" applyBorder="1" applyAlignment="1">
      <alignment horizontal="center" vertical="center"/>
    </xf>
    <xf numFmtId="43" fontId="13" fillId="34" borderId="10" xfId="42" applyFont="1" applyFill="1" applyBorder="1" applyAlignment="1">
      <alignment horizontal="center" vertical="center"/>
    </xf>
    <xf numFmtId="0" fontId="17" fillId="0" borderId="10" xfId="64" applyFont="1" applyFill="1" applyBorder="1" applyAlignment="1">
      <alignment horizontal="center" vertical="center"/>
      <protection/>
    </xf>
    <xf numFmtId="0" fontId="13" fillId="0" borderId="10" xfId="64" applyFont="1" applyFill="1" applyBorder="1" applyAlignment="1">
      <alignment vertical="center" wrapText="1"/>
      <protection/>
    </xf>
    <xf numFmtId="171" fontId="13" fillId="0" borderId="10" xfId="48" applyNumberFormat="1" applyFont="1" applyFill="1" applyBorder="1" applyAlignment="1">
      <alignment horizontal="center" vertical="center"/>
    </xf>
    <xf numFmtId="171" fontId="83" fillId="34" borderId="0" xfId="0" applyNumberFormat="1" applyFont="1" applyFill="1" applyAlignment="1">
      <alignment horizontal="center" vertical="center"/>
    </xf>
    <xf numFmtId="43" fontId="82" fillId="0" borderId="10" xfId="42" applyFont="1" applyBorder="1" applyAlignment="1" quotePrefix="1">
      <alignment horizontal="center" vertical="center" wrapText="1"/>
    </xf>
    <xf numFmtId="181" fontId="82" fillId="0" borderId="10" xfId="42" applyNumberFormat="1" applyFont="1" applyBorder="1" applyAlignment="1" quotePrefix="1">
      <alignment horizontal="center" vertical="center" wrapText="1"/>
    </xf>
    <xf numFmtId="0" fontId="14" fillId="0" borderId="10" xfId="0" applyFont="1" applyFill="1" applyBorder="1" applyAlignment="1">
      <alignment/>
    </xf>
    <xf numFmtId="171" fontId="14" fillId="0" borderId="10" xfId="42" applyNumberFormat="1" applyFont="1" applyFill="1" applyBorder="1" applyAlignment="1">
      <alignment/>
    </xf>
    <xf numFmtId="2" fontId="14" fillId="0" borderId="10" xfId="0" applyNumberFormat="1" applyFont="1" applyFill="1" applyBorder="1" applyAlignment="1">
      <alignment/>
    </xf>
    <xf numFmtId="0" fontId="14" fillId="34" borderId="10" xfId="0" applyFont="1" applyFill="1" applyBorder="1" applyAlignment="1">
      <alignment/>
    </xf>
    <xf numFmtId="171" fontId="14" fillId="34" borderId="10" xfId="42" applyNumberFormat="1" applyFont="1" applyFill="1" applyBorder="1" applyAlignment="1">
      <alignment/>
    </xf>
    <xf numFmtId="2" fontId="14" fillId="34" borderId="10" xfId="0" applyNumberFormat="1" applyFont="1" applyFill="1" applyBorder="1" applyAlignment="1">
      <alignment/>
    </xf>
    <xf numFmtId="0" fontId="83" fillId="0" borderId="10" xfId="0" applyFont="1" applyFill="1" applyBorder="1" applyAlignment="1">
      <alignment/>
    </xf>
    <xf numFmtId="171" fontId="83" fillId="0" borderId="10" xfId="42" applyNumberFormat="1" applyFont="1" applyFill="1" applyBorder="1" applyAlignment="1">
      <alignment/>
    </xf>
    <xf numFmtId="0" fontId="90" fillId="0" borderId="10" xfId="0" applyFont="1" applyBorder="1" applyAlignment="1">
      <alignment wrapText="1"/>
    </xf>
    <xf numFmtId="43" fontId="82" fillId="34" borderId="10" xfId="42" applyFont="1" applyFill="1" applyBorder="1" applyAlignment="1" quotePrefix="1">
      <alignment horizontal="center" vertical="center" wrapText="1"/>
    </xf>
    <xf numFmtId="43" fontId="82" fillId="34" borderId="10" xfId="0" applyNumberFormat="1" applyFont="1" applyFill="1" applyBorder="1" applyAlignment="1">
      <alignment horizontal="center" vertical="center"/>
    </xf>
    <xf numFmtId="0" fontId="3" fillId="0" borderId="10" xfId="0" applyFont="1" applyFill="1" applyBorder="1" applyAlignment="1" quotePrefix="1">
      <alignment horizontal="center"/>
    </xf>
    <xf numFmtId="0" fontId="3" fillId="34" borderId="10" xfId="0" applyFont="1" applyFill="1" applyBorder="1" applyAlignment="1">
      <alignment wrapText="1"/>
    </xf>
    <xf numFmtId="171" fontId="83" fillId="34" borderId="10" xfId="42" applyNumberFormat="1" applyFont="1" applyFill="1" applyBorder="1" applyAlignment="1">
      <alignment horizontal="center"/>
    </xf>
    <xf numFmtId="43" fontId="83" fillId="34" borderId="10" xfId="42" applyFont="1" applyFill="1" applyBorder="1" applyAlignment="1" quotePrefix="1">
      <alignment horizontal="center" wrapText="1"/>
    </xf>
    <xf numFmtId="171" fontId="18" fillId="34" borderId="10" xfId="42" applyNumberFormat="1" applyFont="1" applyFill="1" applyBorder="1" applyAlignment="1">
      <alignment/>
    </xf>
    <xf numFmtId="2" fontId="14" fillId="0" borderId="10" xfId="0" applyNumberFormat="1" applyFont="1" applyFill="1" applyBorder="1" applyAlignment="1">
      <alignment/>
    </xf>
    <xf numFmtId="181" fontId="83" fillId="34" borderId="10" xfId="42" applyNumberFormat="1" applyFont="1" applyFill="1" applyBorder="1" applyAlignment="1">
      <alignment horizontal="right"/>
    </xf>
    <xf numFmtId="183" fontId="83" fillId="0" borderId="0" xfId="0" applyNumberFormat="1" applyFont="1" applyAlignment="1">
      <alignment horizontal="center"/>
    </xf>
    <xf numFmtId="171" fontId="86" fillId="34" borderId="10" xfId="42" applyNumberFormat="1" applyFont="1" applyFill="1" applyBorder="1" applyAlignment="1">
      <alignment horizontal="center"/>
    </xf>
    <xf numFmtId="43" fontId="83" fillId="34" borderId="10" xfId="42" applyFont="1" applyFill="1" applyBorder="1" applyAlignment="1">
      <alignment horizontal="right"/>
    </xf>
    <xf numFmtId="43" fontId="83" fillId="34" borderId="10" xfId="0" applyNumberFormat="1" applyFont="1" applyFill="1" applyBorder="1" applyAlignment="1">
      <alignment horizontal="center"/>
    </xf>
    <xf numFmtId="171" fontId="13" fillId="0" borderId="10" xfId="42" applyNumberFormat="1" applyFont="1" applyBorder="1" applyAlignment="1">
      <alignment/>
    </xf>
    <xf numFmtId="0" fontId="13" fillId="0" borderId="10" xfId="0" applyFont="1" applyBorder="1" applyAlignment="1">
      <alignment/>
    </xf>
    <xf numFmtId="0" fontId="3" fillId="0" borderId="10" xfId="0" applyFont="1" applyFill="1" applyBorder="1" applyAlignment="1" quotePrefix="1">
      <alignment horizontal="center" vertical="center"/>
    </xf>
    <xf numFmtId="0" fontId="3" fillId="0" borderId="10" xfId="0" applyFont="1" applyFill="1" applyBorder="1" applyAlignment="1">
      <alignment vertical="center"/>
    </xf>
    <xf numFmtId="0" fontId="91" fillId="0" borderId="10" xfId="0" applyFont="1" applyFill="1" applyBorder="1" applyAlignment="1">
      <alignment/>
    </xf>
    <xf numFmtId="0" fontId="91" fillId="0" borderId="10" xfId="0" applyFont="1" applyFill="1" applyBorder="1" applyAlignment="1">
      <alignment vertical="center"/>
    </xf>
    <xf numFmtId="2" fontId="14" fillId="0" borderId="10" xfId="0" applyNumberFormat="1" applyFont="1" applyFill="1" applyBorder="1" applyAlignment="1">
      <alignment vertical="center"/>
    </xf>
    <xf numFmtId="43" fontId="83" fillId="34" borderId="10" xfId="0" applyNumberFormat="1" applyFont="1" applyFill="1" applyBorder="1" applyAlignment="1">
      <alignment horizontal="center" vertical="center" wrapText="1"/>
    </xf>
    <xf numFmtId="183" fontId="83" fillId="0" borderId="0" xfId="0" applyNumberFormat="1" applyFont="1" applyBorder="1" applyAlignment="1">
      <alignment horizontal="center"/>
    </xf>
    <xf numFmtId="0" fontId="82" fillId="0" borderId="10" xfId="0" applyFont="1" applyBorder="1" applyAlignment="1">
      <alignment horizontal="center" vertical="center" wrapText="1"/>
    </xf>
    <xf numFmtId="183" fontId="13" fillId="0" borderId="10" xfId="48" applyNumberFormat="1" applyFont="1" applyFill="1" applyBorder="1" applyAlignment="1">
      <alignment horizontal="center" vertical="center"/>
    </xf>
    <xf numFmtId="0" fontId="83" fillId="0" borderId="10" xfId="0" applyFont="1" applyBorder="1" applyAlignment="1">
      <alignment/>
    </xf>
    <xf numFmtId="0" fontId="83" fillId="0" borderId="10" xfId="0" applyFont="1" applyBorder="1" applyAlignment="1">
      <alignment/>
    </xf>
    <xf numFmtId="171" fontId="83" fillId="0" borderId="10" xfId="42" applyNumberFormat="1" applyFont="1" applyBorder="1" applyAlignment="1">
      <alignment/>
    </xf>
    <xf numFmtId="181" fontId="83" fillId="0" borderId="10" xfId="42" applyNumberFormat="1" applyFont="1" applyBorder="1" applyAlignment="1">
      <alignment/>
    </xf>
    <xf numFmtId="0" fontId="83" fillId="0" borderId="10" xfId="0" applyFont="1" applyBorder="1" applyAlignment="1">
      <alignment horizontal="center"/>
    </xf>
    <xf numFmtId="192" fontId="14" fillId="34" borderId="14" xfId="42" applyNumberFormat="1" applyFont="1" applyFill="1" applyBorder="1" applyAlignment="1">
      <alignment horizontal="center" vertical="center"/>
    </xf>
    <xf numFmtId="0" fontId="19" fillId="34" borderId="14" xfId="0" applyFont="1" applyFill="1" applyBorder="1" applyAlignment="1">
      <alignment vertical="center"/>
    </xf>
    <xf numFmtId="0" fontId="90" fillId="0" borderId="10" xfId="0" applyFont="1" applyBorder="1" applyAlignment="1">
      <alignment horizontal="center" wrapText="1"/>
    </xf>
    <xf numFmtId="171" fontId="4" fillId="7" borderId="10" xfId="48" applyNumberFormat="1" applyFont="1" applyFill="1" applyBorder="1" applyAlignment="1">
      <alignment horizontal="center" vertical="center"/>
    </xf>
    <xf numFmtId="171" fontId="4" fillId="7" borderId="10" xfId="48" applyNumberFormat="1" applyFont="1" applyFill="1" applyBorder="1" applyAlignment="1">
      <alignment horizontal="right" vertical="center"/>
    </xf>
    <xf numFmtId="183" fontId="4" fillId="7" borderId="10" xfId="48" applyNumberFormat="1" applyFont="1" applyFill="1" applyBorder="1" applyAlignment="1">
      <alignment horizontal="center" vertical="center"/>
    </xf>
    <xf numFmtId="171" fontId="7" fillId="7" borderId="0" xfId="48" applyNumberFormat="1" applyFont="1" applyFill="1" applyAlignment="1">
      <alignment/>
    </xf>
    <xf numFmtId="171" fontId="7" fillId="7" borderId="0" xfId="48" applyNumberFormat="1" applyFont="1" applyFill="1" applyAlignment="1">
      <alignment horizontal="center"/>
    </xf>
    <xf numFmtId="171" fontId="7" fillId="7" borderId="0" xfId="48" applyNumberFormat="1" applyFont="1" applyFill="1" applyAlignment="1">
      <alignment horizontal="right"/>
    </xf>
    <xf numFmtId="183" fontId="7" fillId="7" borderId="0" xfId="48" applyNumberFormat="1" applyFont="1" applyFill="1" applyAlignment="1">
      <alignment/>
    </xf>
    <xf numFmtId="171" fontId="7" fillId="7" borderId="0" xfId="48" applyNumberFormat="1" applyFont="1" applyFill="1" applyAlignment="1">
      <alignment/>
    </xf>
    <xf numFmtId="183" fontId="7" fillId="7" borderId="0" xfId="48" applyNumberFormat="1" applyFont="1" applyFill="1" applyAlignment="1">
      <alignment/>
    </xf>
    <xf numFmtId="183" fontId="7" fillId="7" borderId="0" xfId="48" applyNumberFormat="1" applyFont="1" applyFill="1" applyAlignment="1">
      <alignment horizontal="center"/>
    </xf>
    <xf numFmtId="185" fontId="4" fillId="7" borderId="10" xfId="48" applyNumberFormat="1" applyFont="1" applyFill="1" applyBorder="1" applyAlignment="1">
      <alignment horizontal="center" vertical="center"/>
    </xf>
    <xf numFmtId="0" fontId="0" fillId="7" borderId="0" xfId="0" applyFill="1" applyAlignment="1">
      <alignment/>
    </xf>
    <xf numFmtId="171" fontId="21" fillId="7" borderId="10" xfId="48" applyNumberFormat="1" applyFont="1" applyFill="1" applyBorder="1" applyAlignment="1">
      <alignment horizontal="center" vertical="center" wrapText="1"/>
    </xf>
    <xf numFmtId="171" fontId="21" fillId="7" borderId="10" xfId="48" applyNumberFormat="1" applyFont="1" applyFill="1" applyBorder="1" applyAlignment="1">
      <alignment horizontal="right" vertical="center" wrapText="1"/>
    </xf>
    <xf numFmtId="171" fontId="92" fillId="0" borderId="10" xfId="42" applyNumberFormat="1" applyFont="1" applyBorder="1" applyAlignment="1">
      <alignment horizontal="center" vertical="center" wrapText="1"/>
    </xf>
    <xf numFmtId="171" fontId="92" fillId="0" borderId="12" xfId="42" applyNumberFormat="1" applyFont="1" applyBorder="1" applyAlignment="1">
      <alignment horizontal="center" vertical="center" wrapText="1"/>
    </xf>
    <xf numFmtId="183" fontId="12" fillId="0" borderId="10" xfId="64" applyNumberFormat="1" applyFont="1" applyFill="1" applyBorder="1" applyAlignment="1">
      <alignment horizontal="center" vertical="center"/>
      <protection/>
    </xf>
    <xf numFmtId="183" fontId="12" fillId="0" borderId="10" xfId="64" applyNumberFormat="1" applyFont="1" applyFill="1" applyBorder="1" applyAlignment="1" quotePrefix="1">
      <alignment horizontal="center" vertical="center"/>
      <protection/>
    </xf>
    <xf numFmtId="183" fontId="12" fillId="7" borderId="10" xfId="48" applyNumberFormat="1" applyFont="1" applyFill="1" applyBorder="1" applyAlignment="1" quotePrefix="1">
      <alignment horizontal="center" vertical="center" wrapText="1"/>
    </xf>
    <xf numFmtId="183" fontId="12" fillId="7" borderId="10" xfId="48" applyNumberFormat="1" applyFont="1" applyFill="1" applyBorder="1" applyAlignment="1" quotePrefix="1">
      <alignment horizontal="right" vertical="center" wrapText="1"/>
    </xf>
    <xf numFmtId="171" fontId="12" fillId="7" borderId="10" xfId="48" applyNumberFormat="1" applyFont="1" applyFill="1" applyBorder="1" applyAlignment="1" quotePrefix="1">
      <alignment horizontal="right" vertical="center" wrapText="1"/>
    </xf>
    <xf numFmtId="183" fontId="12" fillId="7" borderId="10" xfId="48" applyNumberFormat="1" applyFont="1" applyFill="1" applyBorder="1" applyAlignment="1">
      <alignment horizontal="center" vertical="center" wrapText="1"/>
    </xf>
    <xf numFmtId="183" fontId="93" fillId="0" borderId="13" xfId="42" applyNumberFormat="1" applyFont="1" applyBorder="1" applyAlignment="1" quotePrefix="1">
      <alignment horizontal="center" vertical="center" wrapText="1"/>
    </xf>
    <xf numFmtId="183" fontId="93" fillId="34" borderId="13" xfId="42" applyNumberFormat="1" applyFont="1" applyFill="1" applyBorder="1" applyAlignment="1" quotePrefix="1">
      <alignment horizontal="center" vertical="center" wrapText="1"/>
    </xf>
    <xf numFmtId="183" fontId="21" fillId="0" borderId="10" xfId="64" applyNumberFormat="1" applyFont="1" applyFill="1" applyBorder="1" applyAlignment="1">
      <alignment horizontal="center" vertical="center"/>
      <protection/>
    </xf>
    <xf numFmtId="43" fontId="21" fillId="7" borderId="10" xfId="48" applyNumberFormat="1" applyFont="1" applyFill="1" applyBorder="1" applyAlignment="1" quotePrefix="1">
      <alignment horizontal="center" vertical="center" wrapText="1"/>
    </xf>
    <xf numFmtId="181" fontId="21" fillId="7" borderId="10" xfId="48" applyNumberFormat="1" applyFont="1" applyFill="1" applyBorder="1" applyAlignment="1" quotePrefix="1">
      <alignment horizontal="center" vertical="center" wrapText="1"/>
    </xf>
    <xf numFmtId="43" fontId="92" fillId="34" borderId="14" xfId="42" applyFont="1" applyFill="1" applyBorder="1" applyAlignment="1" quotePrefix="1">
      <alignment horizontal="center" vertical="center" wrapText="1"/>
    </xf>
    <xf numFmtId="0" fontId="21" fillId="0" borderId="10" xfId="64" applyFont="1" applyFill="1" applyBorder="1" applyAlignment="1">
      <alignment horizontal="center" vertical="center" wrapText="1"/>
      <protection/>
    </xf>
    <xf numFmtId="0" fontId="21" fillId="0" borderId="10" xfId="64" applyFont="1" applyFill="1" applyBorder="1" applyAlignment="1">
      <alignment vertical="center" wrapText="1"/>
      <protection/>
    </xf>
    <xf numFmtId="0" fontId="21" fillId="33" borderId="10" xfId="64" applyFont="1" applyFill="1" applyBorder="1" applyAlignment="1">
      <alignment horizontal="center" vertical="center"/>
      <protection/>
    </xf>
    <xf numFmtId="0" fontId="21" fillId="33" borderId="10" xfId="64" applyFont="1" applyFill="1" applyBorder="1" applyAlignment="1">
      <alignment vertical="center" wrapText="1"/>
      <protection/>
    </xf>
    <xf numFmtId="171" fontId="21" fillId="7" borderId="10" xfId="48" applyNumberFormat="1" applyFont="1" applyFill="1" applyBorder="1" applyAlignment="1">
      <alignment horizontal="center" vertical="center"/>
    </xf>
    <xf numFmtId="183" fontId="21" fillId="7" borderId="10" xfId="48" applyNumberFormat="1" applyFont="1" applyFill="1" applyBorder="1" applyAlignment="1">
      <alignment horizontal="center" vertical="center"/>
    </xf>
    <xf numFmtId="43" fontId="92" fillId="0" borderId="14" xfId="42" applyFont="1" applyBorder="1" applyAlignment="1" quotePrefix="1">
      <alignment horizontal="center" vertical="center" wrapText="1"/>
    </xf>
    <xf numFmtId="0" fontId="12" fillId="0" borderId="10" xfId="64" applyFont="1" applyFill="1" applyBorder="1" applyAlignment="1">
      <alignment horizontal="center" vertical="center"/>
      <protection/>
    </xf>
    <xf numFmtId="0" fontId="12" fillId="0" borderId="10" xfId="64" applyFont="1" applyFill="1" applyBorder="1" applyAlignment="1">
      <alignment vertical="center"/>
      <protection/>
    </xf>
    <xf numFmtId="171" fontId="12" fillId="7" borderId="10" xfId="48" applyNumberFormat="1" applyFont="1" applyFill="1" applyBorder="1" applyAlignment="1">
      <alignment horizontal="center" vertical="center"/>
    </xf>
    <xf numFmtId="171" fontId="12" fillId="7" borderId="10" xfId="48" applyNumberFormat="1" applyFont="1" applyFill="1" applyBorder="1" applyAlignment="1">
      <alignment horizontal="right" vertical="center"/>
    </xf>
    <xf numFmtId="171" fontId="21" fillId="7" borderId="10" xfId="48" applyNumberFormat="1" applyFont="1" applyFill="1" applyBorder="1" applyAlignment="1">
      <alignment horizontal="right" vertical="center"/>
    </xf>
    <xf numFmtId="183" fontId="12" fillId="7" borderId="10" xfId="48" applyNumberFormat="1" applyFont="1" applyFill="1" applyBorder="1" applyAlignment="1">
      <alignment horizontal="center" vertical="center"/>
    </xf>
    <xf numFmtId="43" fontId="92" fillId="0" borderId="15" xfId="42" applyFont="1" applyBorder="1" applyAlignment="1" quotePrefix="1">
      <alignment horizontal="center" vertical="center" wrapText="1"/>
    </xf>
    <xf numFmtId="43" fontId="93" fillId="0" borderId="10" xfId="42" applyFont="1" applyBorder="1" applyAlignment="1" quotePrefix="1">
      <alignment horizontal="center" vertical="center" wrapText="1"/>
    </xf>
    <xf numFmtId="43" fontId="93" fillId="0" borderId="10" xfId="42" applyNumberFormat="1" applyFont="1" applyBorder="1" applyAlignment="1" quotePrefix="1">
      <alignment horizontal="center" vertical="center" wrapText="1"/>
    </xf>
    <xf numFmtId="193" fontId="3" fillId="0" borderId="10" xfId="45" applyNumberFormat="1" applyFont="1" applyBorder="1" applyAlignment="1">
      <alignment horizontal="right" vertical="center"/>
    </xf>
    <xf numFmtId="185" fontId="3" fillId="0" borderId="10" xfId="45" applyNumberFormat="1" applyFont="1" applyBorder="1" applyAlignment="1">
      <alignment horizontal="center" vertical="center"/>
    </xf>
    <xf numFmtId="171" fontId="93" fillId="34" borderId="10" xfId="42" applyNumberFormat="1" applyFont="1" applyFill="1" applyBorder="1" applyAlignment="1">
      <alignment horizontal="center" vertical="center"/>
    </xf>
    <xf numFmtId="181" fontId="3" fillId="34" borderId="10" xfId="42" applyNumberFormat="1" applyFont="1" applyFill="1" applyBorder="1" applyAlignment="1">
      <alignment horizontal="center" vertical="center"/>
    </xf>
    <xf numFmtId="0" fontId="21" fillId="33" borderId="10" xfId="64" applyFont="1" applyFill="1" applyBorder="1" applyAlignment="1">
      <alignment vertical="center"/>
      <protection/>
    </xf>
    <xf numFmtId="0" fontId="21" fillId="0" borderId="10" xfId="64" applyFont="1" applyFill="1" applyBorder="1" applyAlignment="1">
      <alignment horizontal="center" vertical="center"/>
      <protection/>
    </xf>
    <xf numFmtId="0" fontId="21" fillId="0" borderId="10" xfId="64" applyFont="1" applyFill="1" applyBorder="1" applyAlignment="1">
      <alignment vertical="center"/>
      <protection/>
    </xf>
    <xf numFmtId="181" fontId="21" fillId="7" borderId="10" xfId="48" applyNumberFormat="1" applyFont="1" applyFill="1" applyBorder="1" applyAlignment="1">
      <alignment horizontal="center" vertical="center"/>
    </xf>
    <xf numFmtId="185" fontId="12" fillId="7" borderId="10" xfId="48" applyNumberFormat="1" applyFont="1" applyFill="1" applyBorder="1" applyAlignment="1">
      <alignment horizontal="center" vertical="center"/>
    </xf>
    <xf numFmtId="171" fontId="92" fillId="34" borderId="14" xfId="42" applyNumberFormat="1" applyFont="1" applyFill="1" applyBorder="1" applyAlignment="1">
      <alignment horizontal="center" vertical="center"/>
    </xf>
    <xf numFmtId="43" fontId="92" fillId="34" borderId="14" xfId="42" applyFont="1" applyFill="1" applyBorder="1" applyAlignment="1">
      <alignment horizontal="center" vertical="center"/>
    </xf>
    <xf numFmtId="171" fontId="92" fillId="34" borderId="10" xfId="42" applyNumberFormat="1" applyFont="1" applyFill="1" applyBorder="1" applyAlignment="1">
      <alignment horizontal="center" vertical="center"/>
    </xf>
    <xf numFmtId="180" fontId="93" fillId="0" borderId="10" xfId="42" applyNumberFormat="1" applyFont="1" applyBorder="1" applyAlignment="1" quotePrefix="1">
      <alignment horizontal="center" vertical="center" wrapText="1"/>
    </xf>
    <xf numFmtId="171" fontId="3" fillId="35" borderId="10" xfId="44" applyNumberFormat="1" applyFont="1" applyFill="1" applyBorder="1" applyAlignment="1">
      <alignment horizontal="center" vertical="center"/>
    </xf>
    <xf numFmtId="183" fontId="21" fillId="7" borderId="10" xfId="48" applyNumberFormat="1" applyFont="1" applyFill="1" applyBorder="1" applyAlignment="1" quotePrefix="1">
      <alignment horizontal="center" vertical="center" wrapText="1"/>
    </xf>
    <xf numFmtId="183" fontId="21" fillId="7" borderId="10" xfId="48" applyNumberFormat="1" applyFont="1" applyFill="1" applyBorder="1" applyAlignment="1" quotePrefix="1">
      <alignment horizontal="right" vertical="center" wrapText="1"/>
    </xf>
    <xf numFmtId="171" fontId="21" fillId="7" borderId="10" xfId="48" applyNumberFormat="1" applyFont="1" applyFill="1" applyBorder="1" applyAlignment="1" quotePrefix="1">
      <alignment horizontal="right" vertical="center" wrapText="1"/>
    </xf>
    <xf numFmtId="171" fontId="92" fillId="34" borderId="15" xfId="42" applyNumberFormat="1" applyFont="1" applyFill="1" applyBorder="1" applyAlignment="1">
      <alignment horizontal="center" vertical="center"/>
    </xf>
    <xf numFmtId="171" fontId="3" fillId="35" borderId="15" xfId="44" applyNumberFormat="1" applyFont="1" applyFill="1" applyBorder="1" applyAlignment="1">
      <alignment horizontal="center" vertical="center"/>
    </xf>
    <xf numFmtId="193" fontId="3" fillId="0" borderId="15" xfId="45" applyNumberFormat="1" applyFont="1" applyBorder="1" applyAlignment="1">
      <alignment horizontal="right" vertical="center"/>
    </xf>
    <xf numFmtId="171" fontId="93" fillId="34" borderId="15" xfId="42" applyNumberFormat="1" applyFont="1" applyFill="1" applyBorder="1" applyAlignment="1">
      <alignment horizontal="center" vertical="center"/>
    </xf>
    <xf numFmtId="43" fontId="93" fillId="34" borderId="10" xfId="42" applyFont="1" applyFill="1" applyBorder="1" applyAlignment="1" quotePrefix="1">
      <alignment horizontal="center" vertical="center" wrapText="1"/>
    </xf>
    <xf numFmtId="181" fontId="93" fillId="34" borderId="10" xfId="42" applyNumberFormat="1" applyFont="1" applyFill="1" applyBorder="1" applyAlignment="1">
      <alignment horizontal="right" vertical="center"/>
    </xf>
    <xf numFmtId="171" fontId="94" fillId="34" borderId="10" xfId="42" applyNumberFormat="1" applyFont="1" applyFill="1" applyBorder="1" applyAlignment="1">
      <alignment horizontal="center" vertical="center"/>
    </xf>
    <xf numFmtId="43" fontId="93" fillId="34" borderId="10" xfId="42" applyFont="1" applyFill="1" applyBorder="1" applyAlignment="1">
      <alignment horizontal="right" vertical="center"/>
    </xf>
    <xf numFmtId="194" fontId="92" fillId="34" borderId="14" xfId="42" applyNumberFormat="1" applyFont="1" applyFill="1" applyBorder="1" applyAlignment="1">
      <alignment horizontal="center" vertical="center"/>
    </xf>
    <xf numFmtId="171" fontId="93" fillId="34" borderId="14" xfId="42" applyNumberFormat="1" applyFont="1" applyFill="1" applyBorder="1" applyAlignment="1">
      <alignment horizontal="center" vertical="center"/>
    </xf>
    <xf numFmtId="171" fontId="95" fillId="34" borderId="14" xfId="42" applyNumberFormat="1" applyFont="1" applyFill="1" applyBorder="1" applyAlignment="1">
      <alignment horizontal="center" vertical="center"/>
    </xf>
    <xf numFmtId="0" fontId="21" fillId="0" borderId="10" xfId="64" applyFont="1" applyFill="1" applyBorder="1" applyAlignment="1">
      <alignment horizontal="left" vertical="center"/>
      <protection/>
    </xf>
    <xf numFmtId="0" fontId="12" fillId="0" borderId="10" xfId="64" applyFont="1" applyFill="1" applyBorder="1" applyAlignment="1">
      <alignment horizontal="left" vertical="center"/>
      <protection/>
    </xf>
    <xf numFmtId="43" fontId="93" fillId="34" borderId="14" xfId="42" applyFont="1" applyFill="1" applyBorder="1" applyAlignment="1">
      <alignment horizontal="center" vertical="center"/>
    </xf>
    <xf numFmtId="183" fontId="21" fillId="0" borderId="10" xfId="46" applyNumberFormat="1" applyFont="1" applyFill="1" applyBorder="1" applyAlignment="1">
      <alignment vertical="center"/>
    </xf>
    <xf numFmtId="171" fontId="2" fillId="34" borderId="14" xfId="42" applyNumberFormat="1" applyFont="1" applyFill="1" applyBorder="1" applyAlignment="1">
      <alignment horizontal="center" vertical="center"/>
    </xf>
    <xf numFmtId="183" fontId="12" fillId="0" borderId="10" xfId="46" applyNumberFormat="1" applyFont="1" applyFill="1" applyBorder="1" applyAlignment="1">
      <alignment vertical="center"/>
    </xf>
    <xf numFmtId="186" fontId="12" fillId="7" borderId="10" xfId="48" applyNumberFormat="1" applyFont="1" applyFill="1" applyBorder="1" applyAlignment="1">
      <alignment horizontal="center" vertical="center"/>
    </xf>
    <xf numFmtId="171" fontId="3" fillId="0" borderId="10" xfId="48" applyNumberFormat="1" applyFont="1" applyFill="1" applyBorder="1" applyAlignment="1">
      <alignment horizontal="center" vertical="center"/>
    </xf>
    <xf numFmtId="185" fontId="3" fillId="0" borderId="10" xfId="48" applyNumberFormat="1" applyFont="1" applyFill="1" applyBorder="1" applyAlignment="1">
      <alignment horizontal="center" vertical="center"/>
    </xf>
    <xf numFmtId="171" fontId="3" fillId="34" borderId="14" xfId="42" applyNumberFormat="1" applyFont="1" applyFill="1" applyBorder="1" applyAlignment="1">
      <alignment horizontal="center" vertical="center"/>
    </xf>
    <xf numFmtId="171" fontId="3" fillId="0" borderId="10" xfId="48" applyNumberFormat="1" applyFont="1" applyFill="1" applyBorder="1" applyAlignment="1">
      <alignment horizontal="right" vertical="center"/>
    </xf>
    <xf numFmtId="181" fontId="3" fillId="0" borderId="10" xfId="42" applyNumberFormat="1" applyFont="1" applyFill="1" applyBorder="1" applyAlignment="1">
      <alignment horizontal="center" vertical="center"/>
    </xf>
    <xf numFmtId="183" fontId="12" fillId="0" borderId="10" xfId="45" applyNumberFormat="1" applyFont="1" applyFill="1" applyBorder="1" applyAlignment="1">
      <alignment horizontal="left" vertical="center"/>
    </xf>
    <xf numFmtId="171" fontId="3" fillId="0" borderId="15" xfId="48" applyNumberFormat="1" applyFont="1" applyFill="1" applyBorder="1" applyAlignment="1">
      <alignment horizontal="center" vertical="center"/>
    </xf>
    <xf numFmtId="185" fontId="3" fillId="0" borderId="15" xfId="48" applyNumberFormat="1" applyFont="1" applyFill="1" applyBorder="1" applyAlignment="1">
      <alignment horizontal="center" vertical="center"/>
    </xf>
    <xf numFmtId="171" fontId="3" fillId="0" borderId="15" xfId="48" applyNumberFormat="1" applyFont="1" applyFill="1" applyBorder="1" applyAlignment="1">
      <alignment horizontal="right" vertical="center"/>
    </xf>
    <xf numFmtId="183" fontId="21" fillId="0" borderId="10" xfId="45" applyNumberFormat="1" applyFont="1" applyFill="1" applyBorder="1" applyAlignment="1">
      <alignment horizontal="left" vertical="center"/>
    </xf>
    <xf numFmtId="185" fontId="21" fillId="7" borderId="10" xfId="48" applyNumberFormat="1" applyFont="1" applyFill="1" applyBorder="1" applyAlignment="1">
      <alignment horizontal="center" vertical="center"/>
    </xf>
    <xf numFmtId="43" fontId="2" fillId="34" borderId="14" xfId="42" applyNumberFormat="1" applyFont="1" applyFill="1" applyBorder="1" applyAlignment="1">
      <alignment horizontal="center" vertical="center"/>
    </xf>
    <xf numFmtId="4" fontId="22" fillId="34" borderId="14" xfId="42" applyNumberFormat="1" applyFont="1" applyFill="1" applyBorder="1" applyAlignment="1">
      <alignment horizontal="center" vertical="center"/>
    </xf>
    <xf numFmtId="43" fontId="3" fillId="34" borderId="14" xfId="42" applyNumberFormat="1" applyFont="1" applyFill="1" applyBorder="1" applyAlignment="1">
      <alignment horizontal="center" vertical="center"/>
    </xf>
    <xf numFmtId="3" fontId="22" fillId="34" borderId="14" xfId="42" applyNumberFormat="1" applyFont="1" applyFill="1" applyBorder="1" applyAlignment="1">
      <alignment horizontal="center" vertical="center"/>
    </xf>
    <xf numFmtId="3" fontId="22" fillId="34" borderId="16" xfId="42" applyNumberFormat="1" applyFont="1" applyFill="1" applyBorder="1" applyAlignment="1">
      <alignment horizontal="center" vertical="center"/>
    </xf>
    <xf numFmtId="4" fontId="22" fillId="34" borderId="16" xfId="42" applyNumberFormat="1" applyFont="1" applyFill="1" applyBorder="1" applyAlignment="1">
      <alignment horizontal="center" vertical="center"/>
    </xf>
    <xf numFmtId="185" fontId="21" fillId="7" borderId="10" xfId="48" applyNumberFormat="1" applyFont="1" applyFill="1" applyBorder="1" applyAlignment="1">
      <alignment horizontal="right" vertical="center"/>
    </xf>
    <xf numFmtId="3" fontId="22" fillId="34" borderId="17" xfId="42" applyNumberFormat="1" applyFont="1" applyFill="1" applyBorder="1" applyAlignment="1">
      <alignment horizontal="center" vertical="center"/>
    </xf>
    <xf numFmtId="4" fontId="22" fillId="34" borderId="17" xfId="42" applyNumberFormat="1" applyFont="1" applyFill="1" applyBorder="1" applyAlignment="1">
      <alignment horizontal="center" vertical="center"/>
    </xf>
    <xf numFmtId="185" fontId="3" fillId="34" borderId="14" xfId="42" applyNumberFormat="1" applyFont="1" applyFill="1" applyBorder="1" applyAlignment="1">
      <alignment horizontal="center" vertical="center"/>
    </xf>
    <xf numFmtId="0" fontId="12" fillId="0" borderId="10" xfId="64" applyFont="1" applyFill="1" applyBorder="1" applyAlignment="1">
      <alignment vertical="center" wrapText="1"/>
      <protection/>
    </xf>
    <xf numFmtId="192" fontId="3" fillId="34" borderId="14" xfId="42" applyNumberFormat="1" applyFont="1" applyFill="1" applyBorder="1" applyAlignment="1">
      <alignment horizontal="center" vertical="center"/>
    </xf>
    <xf numFmtId="171" fontId="2" fillId="34" borderId="10" xfId="42" applyNumberFormat="1" applyFont="1" applyFill="1" applyBorder="1" applyAlignment="1">
      <alignment horizontal="center" vertical="center"/>
    </xf>
    <xf numFmtId="171" fontId="3" fillId="34" borderId="10" xfId="42" applyNumberFormat="1" applyFont="1" applyFill="1" applyBorder="1" applyAlignment="1">
      <alignment horizontal="center" vertical="center"/>
    </xf>
    <xf numFmtId="4" fontId="3" fillId="0" borderId="10" xfId="42" applyNumberFormat="1" applyFont="1" applyBorder="1" applyAlignment="1">
      <alignment horizontal="right" vertical="center"/>
    </xf>
    <xf numFmtId="191" fontId="3" fillId="0" borderId="10" xfId="44" applyNumberFormat="1" applyFont="1" applyBorder="1" applyAlignment="1">
      <alignment horizontal="right" vertical="center"/>
    </xf>
    <xf numFmtId="190" fontId="3" fillId="0" borderId="10" xfId="44" applyNumberFormat="1" applyFont="1" applyBorder="1" applyAlignment="1">
      <alignment horizontal="right" vertical="center"/>
    </xf>
    <xf numFmtId="183" fontId="3" fillId="34" borderId="10" xfId="42" applyNumberFormat="1" applyFont="1" applyFill="1" applyBorder="1" applyAlignment="1">
      <alignment horizontal="center" vertical="center"/>
    </xf>
    <xf numFmtId="43" fontId="21" fillId="7" borderId="10" xfId="48" applyNumberFormat="1" applyFont="1" applyFill="1" applyBorder="1" applyAlignment="1">
      <alignment horizontal="center" vertical="center"/>
    </xf>
    <xf numFmtId="0" fontId="23" fillId="0" borderId="10" xfId="64" applyFont="1" applyFill="1" applyBorder="1" applyAlignment="1">
      <alignment horizontal="center" vertical="center"/>
      <protection/>
    </xf>
    <xf numFmtId="171" fontId="10" fillId="7" borderId="10" xfId="48" applyNumberFormat="1" applyFont="1" applyFill="1" applyBorder="1" applyAlignment="1">
      <alignment horizontal="center" vertical="center"/>
    </xf>
    <xf numFmtId="0" fontId="10" fillId="7" borderId="10" xfId="64" applyFont="1" applyFill="1" applyBorder="1" applyAlignment="1">
      <alignment horizontal="right" vertical="center" wrapText="1"/>
      <protection/>
    </xf>
    <xf numFmtId="0" fontId="10" fillId="7" borderId="10" xfId="64" applyFont="1" applyFill="1" applyBorder="1" applyAlignment="1">
      <alignment horizontal="center" vertical="center" wrapText="1"/>
      <protection/>
    </xf>
    <xf numFmtId="186" fontId="10" fillId="7" borderId="10" xfId="48" applyNumberFormat="1" applyFont="1" applyFill="1" applyBorder="1" applyAlignment="1">
      <alignment horizontal="center" vertical="center"/>
    </xf>
    <xf numFmtId="171" fontId="10" fillId="7" borderId="10" xfId="48" applyNumberFormat="1" applyFont="1" applyFill="1" applyBorder="1" applyAlignment="1">
      <alignment horizontal="right" vertical="center"/>
    </xf>
    <xf numFmtId="183" fontId="10" fillId="7" borderId="10" xfId="48" applyNumberFormat="1" applyFont="1" applyFill="1" applyBorder="1" applyAlignment="1">
      <alignment horizontal="center" vertical="center"/>
    </xf>
    <xf numFmtId="43" fontId="2" fillId="34" borderId="10" xfId="42" applyFont="1" applyFill="1" applyBorder="1" applyAlignment="1">
      <alignment horizontal="center" vertical="center"/>
    </xf>
    <xf numFmtId="171" fontId="20" fillId="34" borderId="14" xfId="42" applyNumberFormat="1" applyFont="1" applyFill="1" applyBorder="1" applyAlignment="1">
      <alignment horizontal="center" vertical="center"/>
    </xf>
    <xf numFmtId="0" fontId="3" fillId="0" borderId="10" xfId="64" applyFont="1" applyFill="1" applyBorder="1" applyAlignment="1">
      <alignment horizontal="right" vertical="center" wrapText="1"/>
      <protection/>
    </xf>
    <xf numFmtId="0" fontId="3" fillId="0" borderId="10" xfId="64" applyFont="1" applyFill="1" applyBorder="1" applyAlignment="1">
      <alignment horizontal="center" vertical="center" wrapText="1"/>
      <protection/>
    </xf>
    <xf numFmtId="186" fontId="3" fillId="0" borderId="10" xfId="48" applyNumberFormat="1" applyFont="1" applyFill="1" applyBorder="1" applyAlignment="1">
      <alignment horizontal="center" vertical="center"/>
    </xf>
    <xf numFmtId="171" fontId="20" fillId="34" borderId="17" xfId="42" applyNumberFormat="1" applyFont="1" applyFill="1" applyBorder="1" applyAlignment="1">
      <alignment horizontal="center" vertical="center"/>
    </xf>
    <xf numFmtId="171" fontId="3" fillId="0" borderId="18" xfId="48" applyNumberFormat="1" applyFont="1" applyFill="1" applyBorder="1" applyAlignment="1">
      <alignment horizontal="center" vertical="center"/>
    </xf>
    <xf numFmtId="0" fontId="3" fillId="0" borderId="18" xfId="64" applyFont="1" applyFill="1" applyBorder="1" applyAlignment="1">
      <alignment horizontal="right" vertical="center" wrapText="1"/>
      <protection/>
    </xf>
    <xf numFmtId="186" fontId="3" fillId="0" borderId="18" xfId="48" applyNumberFormat="1" applyFont="1" applyFill="1" applyBorder="1" applyAlignment="1">
      <alignment horizontal="center" vertical="center"/>
    </xf>
    <xf numFmtId="171" fontId="3" fillId="0" borderId="18" xfId="48" applyNumberFormat="1" applyFont="1" applyFill="1" applyBorder="1" applyAlignment="1">
      <alignment horizontal="right" vertical="center"/>
    </xf>
    <xf numFmtId="171" fontId="2" fillId="34" borderId="17" xfId="42" applyNumberFormat="1" applyFont="1" applyFill="1" applyBorder="1" applyAlignment="1">
      <alignment horizontal="center" vertical="center"/>
    </xf>
    <xf numFmtId="171" fontId="20" fillId="34" borderId="10" xfId="42" applyNumberFormat="1" applyFont="1" applyFill="1" applyBorder="1" applyAlignment="1">
      <alignment horizontal="center" vertical="center"/>
    </xf>
    <xf numFmtId="0" fontId="10" fillId="0" borderId="18" xfId="64" applyFont="1" applyFill="1" applyBorder="1" applyAlignment="1">
      <alignment horizontal="left" vertical="center" wrapText="1"/>
      <protection/>
    </xf>
    <xf numFmtId="0" fontId="10" fillId="0" borderId="10" xfId="64" applyFont="1" applyFill="1" applyBorder="1" applyAlignment="1">
      <alignment vertical="center"/>
      <protection/>
    </xf>
    <xf numFmtId="185" fontId="10" fillId="7" borderId="10" xfId="48" applyNumberFormat="1" applyFont="1" applyFill="1" applyBorder="1" applyAlignment="1">
      <alignment horizontal="center" vertical="center"/>
    </xf>
    <xf numFmtId="1" fontId="12" fillId="0" borderId="10" xfId="48" applyNumberFormat="1" applyFont="1" applyFill="1" applyBorder="1" applyAlignment="1" applyProtection="1">
      <alignment horizontal="center" vertical="center" wrapText="1"/>
      <protection/>
    </xf>
    <xf numFmtId="171" fontId="3" fillId="0" borderId="10" xfId="42" applyNumberFormat="1" applyFont="1" applyBorder="1" applyAlignment="1">
      <alignment/>
    </xf>
    <xf numFmtId="0" fontId="25" fillId="0" borderId="10" xfId="64" applyFont="1" applyFill="1" applyBorder="1" applyAlignment="1">
      <alignment horizontal="center" vertical="center"/>
      <protection/>
    </xf>
    <xf numFmtId="171" fontId="12" fillId="7" borderId="10" xfId="48" applyNumberFormat="1" applyFont="1" applyFill="1" applyBorder="1" applyAlignment="1">
      <alignment horizontal="right"/>
    </xf>
    <xf numFmtId="0" fontId="24" fillId="0" borderId="10" xfId="64" applyFont="1" applyFill="1" applyBorder="1" applyAlignment="1">
      <alignment horizontal="center" vertical="center"/>
      <protection/>
    </xf>
    <xf numFmtId="0" fontId="10" fillId="0" borderId="10" xfId="64" applyFont="1" applyFill="1" applyBorder="1" applyAlignment="1">
      <alignment vertical="center" wrapText="1"/>
      <protection/>
    </xf>
    <xf numFmtId="171" fontId="10" fillId="7" borderId="10" xfId="48" applyNumberFormat="1" applyFont="1" applyFill="1" applyBorder="1" applyAlignment="1">
      <alignment horizontal="right"/>
    </xf>
    <xf numFmtId="171" fontId="3" fillId="0" borderId="18" xfId="42" applyNumberFormat="1" applyFont="1" applyBorder="1" applyAlignment="1">
      <alignment/>
    </xf>
    <xf numFmtId="185" fontId="3" fillId="0" borderId="18" xfId="48" applyNumberFormat="1" applyFont="1" applyFill="1" applyBorder="1" applyAlignment="1">
      <alignment horizontal="center" vertical="center"/>
    </xf>
    <xf numFmtId="171" fontId="2" fillId="0" borderId="10" xfId="48" applyNumberFormat="1" applyFont="1" applyFill="1" applyBorder="1" applyAlignment="1">
      <alignment horizontal="center" vertical="center"/>
    </xf>
    <xf numFmtId="43" fontId="92" fillId="0" borderId="10" xfId="42" applyFont="1" applyBorder="1" applyAlignment="1" quotePrefix="1">
      <alignment horizontal="center" vertical="center" wrapText="1"/>
    </xf>
    <xf numFmtId="181" fontId="92" fillId="0" borderId="10" xfId="42" applyNumberFormat="1" applyFont="1" applyBorder="1" applyAlignment="1" quotePrefix="1">
      <alignment horizontal="center" vertical="center" wrapText="1"/>
    </xf>
    <xf numFmtId="171" fontId="3" fillId="0" borderId="10" xfId="42" applyNumberFormat="1" applyFont="1" applyFill="1" applyBorder="1" applyAlignment="1">
      <alignment/>
    </xf>
    <xf numFmtId="2" fontId="3" fillId="0" borderId="10" xfId="0" applyNumberFormat="1" applyFont="1" applyFill="1" applyBorder="1" applyAlignment="1">
      <alignment/>
    </xf>
    <xf numFmtId="171" fontId="3" fillId="34" borderId="10" xfId="42" applyNumberFormat="1" applyFont="1" applyFill="1" applyBorder="1" applyAlignment="1">
      <alignment/>
    </xf>
    <xf numFmtId="2" fontId="3" fillId="34" borderId="10" xfId="0" applyNumberFormat="1" applyFont="1" applyFill="1" applyBorder="1" applyAlignment="1">
      <alignment/>
    </xf>
    <xf numFmtId="0" fontId="26" fillId="0" borderId="10" xfId="64" applyFont="1" applyFill="1" applyBorder="1" applyAlignment="1">
      <alignment horizontal="center" vertical="center"/>
      <protection/>
    </xf>
    <xf numFmtId="43" fontId="92" fillId="34" borderId="10" xfId="42" applyFont="1" applyFill="1" applyBorder="1" applyAlignment="1" quotePrefix="1">
      <alignment horizontal="center" vertical="center" wrapText="1"/>
    </xf>
    <xf numFmtId="171" fontId="93" fillId="0" borderId="10" xfId="42" applyNumberFormat="1" applyFont="1" applyFill="1" applyBorder="1" applyAlignment="1">
      <alignment/>
    </xf>
    <xf numFmtId="183" fontId="2" fillId="0" borderId="10" xfId="48" applyNumberFormat="1" applyFont="1" applyFill="1" applyBorder="1" applyAlignment="1">
      <alignment horizontal="center" vertical="center"/>
    </xf>
    <xf numFmtId="171" fontId="93" fillId="34" borderId="10" xfId="42" applyNumberFormat="1" applyFont="1" applyFill="1" applyBorder="1" applyAlignment="1">
      <alignment horizontal="center"/>
    </xf>
    <xf numFmtId="43" fontId="93" fillId="34" borderId="10" xfId="42" applyFont="1" applyFill="1" applyBorder="1" applyAlignment="1" quotePrefix="1">
      <alignment horizontal="center" wrapText="1"/>
    </xf>
    <xf numFmtId="171" fontId="3" fillId="34" borderId="10" xfId="42" applyNumberFormat="1" applyFont="1" applyFill="1" applyBorder="1" applyAlignment="1">
      <alignment/>
    </xf>
    <xf numFmtId="2" fontId="3" fillId="0" borderId="10" xfId="0" applyNumberFormat="1" applyFont="1" applyFill="1" applyBorder="1" applyAlignment="1">
      <alignment/>
    </xf>
    <xf numFmtId="181" fontId="93" fillId="34" borderId="10" xfId="42" applyNumberFormat="1" applyFont="1" applyFill="1" applyBorder="1" applyAlignment="1">
      <alignment horizontal="right"/>
    </xf>
    <xf numFmtId="171" fontId="94" fillId="34" borderId="10" xfId="42" applyNumberFormat="1" applyFont="1" applyFill="1" applyBorder="1" applyAlignment="1">
      <alignment horizontal="center"/>
    </xf>
    <xf numFmtId="43" fontId="93" fillId="34" borderId="10" xfId="42" applyFont="1" applyFill="1" applyBorder="1" applyAlignment="1">
      <alignment horizontal="right"/>
    </xf>
    <xf numFmtId="1" fontId="21" fillId="0" borderId="10" xfId="48" applyNumberFormat="1" applyFont="1" applyFill="1" applyBorder="1" applyAlignment="1" applyProtection="1">
      <alignment horizontal="center" vertical="center" wrapText="1"/>
      <protection/>
    </xf>
    <xf numFmtId="49" fontId="21" fillId="0" borderId="10" xfId="64" applyNumberFormat="1" applyFont="1" applyFill="1" applyBorder="1" applyAlignment="1">
      <alignment vertical="center" wrapText="1"/>
      <protection/>
    </xf>
    <xf numFmtId="171" fontId="2" fillId="0" borderId="10" xfId="42" applyNumberFormat="1" applyFont="1" applyBorder="1" applyAlignment="1">
      <alignment/>
    </xf>
    <xf numFmtId="1" fontId="21" fillId="0" borderId="10" xfId="48" applyNumberFormat="1" applyFont="1" applyFill="1" applyBorder="1" applyAlignment="1" applyProtection="1" quotePrefix="1">
      <alignment horizontal="center" vertical="center" wrapText="1"/>
      <protection/>
    </xf>
    <xf numFmtId="1" fontId="12" fillId="0" borderId="10" xfId="48" applyNumberFormat="1" applyFont="1" applyFill="1" applyBorder="1" applyAlignment="1" applyProtection="1" quotePrefix="1">
      <alignment horizontal="center" vertical="center" wrapText="1"/>
      <protection/>
    </xf>
    <xf numFmtId="0" fontId="12" fillId="0" borderId="10" xfId="64" applyFont="1" applyFill="1" applyBorder="1">
      <alignment/>
      <protection/>
    </xf>
    <xf numFmtId="0" fontId="93" fillId="0" borderId="10" xfId="0" applyFont="1" applyFill="1" applyBorder="1" applyAlignment="1">
      <alignment/>
    </xf>
    <xf numFmtId="0" fontId="93" fillId="0" borderId="10" xfId="0" applyFont="1" applyFill="1" applyBorder="1" applyAlignment="1">
      <alignment vertical="center"/>
    </xf>
    <xf numFmtId="2" fontId="3" fillId="0" borderId="10" xfId="0" applyNumberFormat="1" applyFont="1" applyFill="1" applyBorder="1" applyAlignment="1">
      <alignment vertical="center"/>
    </xf>
    <xf numFmtId="171" fontId="93" fillId="0" borderId="10" xfId="42" applyNumberFormat="1" applyFont="1" applyBorder="1" applyAlignment="1">
      <alignment/>
    </xf>
    <xf numFmtId="181" fontId="93" fillId="0" borderId="10" xfId="42" applyNumberFormat="1" applyFont="1" applyBorder="1" applyAlignment="1">
      <alignment/>
    </xf>
    <xf numFmtId="171" fontId="93" fillId="0" borderId="0" xfId="42" applyNumberFormat="1" applyFont="1" applyAlignment="1">
      <alignment/>
    </xf>
    <xf numFmtId="171" fontId="93" fillId="34" borderId="0" xfId="42" applyNumberFormat="1" applyFont="1" applyFill="1" applyAlignment="1">
      <alignment horizontal="center"/>
    </xf>
    <xf numFmtId="1" fontId="10" fillId="0" borderId="10" xfId="48" applyNumberFormat="1" applyFont="1" applyFill="1" applyBorder="1" applyAlignment="1" applyProtection="1">
      <alignment horizontal="center" vertical="center" wrapText="1"/>
      <protection/>
    </xf>
    <xf numFmtId="171" fontId="27" fillId="7" borderId="10" xfId="48" applyNumberFormat="1" applyFont="1" applyFill="1" applyBorder="1" applyAlignment="1">
      <alignment horizontal="right" vertical="center"/>
    </xf>
    <xf numFmtId="171" fontId="27" fillId="7" borderId="10" xfId="48" applyNumberFormat="1" applyFont="1" applyFill="1" applyBorder="1" applyAlignment="1">
      <alignment horizontal="center" vertical="center"/>
    </xf>
    <xf numFmtId="181" fontId="7" fillId="7" borderId="0" xfId="42" applyNumberFormat="1" applyFont="1" applyFill="1" applyAlignment="1">
      <alignment/>
    </xf>
    <xf numFmtId="181" fontId="7" fillId="7" borderId="0" xfId="42" applyNumberFormat="1" applyFont="1" applyFill="1" applyAlignment="1">
      <alignment horizontal="center"/>
    </xf>
    <xf numFmtId="181" fontId="12" fillId="7" borderId="10" xfId="42" applyNumberFormat="1" applyFont="1" applyFill="1" applyBorder="1" applyAlignment="1" quotePrefix="1">
      <alignment horizontal="center" vertical="center" wrapText="1"/>
    </xf>
    <xf numFmtId="181" fontId="21" fillId="7" borderId="10" xfId="42" applyNumberFormat="1" applyFont="1" applyFill="1" applyBorder="1" applyAlignment="1" quotePrefix="1">
      <alignment horizontal="center" vertical="center" wrapText="1"/>
    </xf>
    <xf numFmtId="181" fontId="21" fillId="7" borderId="10" xfId="42" applyNumberFormat="1" applyFont="1" applyFill="1" applyBorder="1" applyAlignment="1">
      <alignment horizontal="center" vertical="center"/>
    </xf>
    <xf numFmtId="181" fontId="12" fillId="7" borderId="10" xfId="42" applyNumberFormat="1" applyFont="1" applyFill="1" applyBorder="1" applyAlignment="1">
      <alignment horizontal="center" vertical="center"/>
    </xf>
    <xf numFmtId="181" fontId="24" fillId="7" borderId="10" xfId="42" applyNumberFormat="1" applyFont="1" applyFill="1" applyBorder="1" applyAlignment="1">
      <alignment horizontal="center" vertical="center"/>
    </xf>
    <xf numFmtId="181" fontId="10" fillId="7" borderId="10" xfId="42" applyNumberFormat="1" applyFont="1" applyFill="1" applyBorder="1" applyAlignment="1">
      <alignment horizontal="center" vertical="center"/>
    </xf>
    <xf numFmtId="181" fontId="25" fillId="7" borderId="10" xfId="42" applyNumberFormat="1" applyFont="1" applyFill="1" applyBorder="1" applyAlignment="1">
      <alignment horizontal="center" vertical="center"/>
    </xf>
    <xf numFmtId="181" fontId="26" fillId="7" borderId="10" xfId="42" applyNumberFormat="1" applyFont="1" applyFill="1" applyBorder="1" applyAlignment="1">
      <alignment horizontal="center" vertical="center"/>
    </xf>
    <xf numFmtId="181" fontId="23" fillId="7" borderId="10" xfId="42" applyNumberFormat="1" applyFont="1" applyFill="1" applyBorder="1" applyAlignment="1">
      <alignment horizontal="center" vertical="center"/>
    </xf>
    <xf numFmtId="181" fontId="4" fillId="7" borderId="10" xfId="42" applyNumberFormat="1" applyFont="1" applyFill="1" applyBorder="1" applyAlignment="1">
      <alignment horizontal="center" vertical="center"/>
    </xf>
    <xf numFmtId="181" fontId="0" fillId="7" borderId="0" xfId="42" applyNumberFormat="1" applyFont="1" applyFill="1" applyAlignment="1">
      <alignment/>
    </xf>
    <xf numFmtId="183" fontId="93" fillId="0" borderId="19" xfId="42" applyNumberFormat="1" applyFont="1" applyBorder="1" applyAlignment="1" quotePrefix="1">
      <alignment horizontal="center" vertical="center" wrapText="1"/>
    </xf>
    <xf numFmtId="43" fontId="92" fillId="34" borderId="20" xfId="42" applyFont="1" applyFill="1" applyBorder="1" applyAlignment="1" quotePrefix="1">
      <alignment horizontal="center" vertical="center" wrapText="1"/>
    </xf>
    <xf numFmtId="43" fontId="92" fillId="0" borderId="20" xfId="42" applyFont="1" applyBorder="1" applyAlignment="1" quotePrefix="1">
      <alignment horizontal="center" vertical="center" wrapText="1"/>
    </xf>
    <xf numFmtId="43" fontId="92" fillId="0" borderId="21" xfId="42" applyFont="1" applyBorder="1" applyAlignment="1" quotePrefix="1">
      <alignment horizontal="center" vertical="center" wrapText="1"/>
    </xf>
    <xf numFmtId="171" fontId="93" fillId="34" borderId="12" xfId="42" applyNumberFormat="1" applyFont="1" applyFill="1" applyBorder="1" applyAlignment="1">
      <alignment horizontal="center" vertical="center"/>
    </xf>
    <xf numFmtId="171" fontId="92" fillId="34" borderId="20" xfId="42" applyNumberFormat="1" applyFont="1" applyFill="1" applyBorder="1" applyAlignment="1">
      <alignment horizontal="center" vertical="center"/>
    </xf>
    <xf numFmtId="43" fontId="92" fillId="34" borderId="20" xfId="42" applyFont="1" applyFill="1" applyBorder="1" applyAlignment="1">
      <alignment horizontal="center" vertical="center"/>
    </xf>
    <xf numFmtId="171" fontId="93" fillId="34" borderId="21" xfId="42" applyNumberFormat="1" applyFont="1" applyFill="1" applyBorder="1" applyAlignment="1">
      <alignment horizontal="center" vertical="center"/>
    </xf>
    <xf numFmtId="43" fontId="93" fillId="34" borderId="12" xfId="42" applyFont="1" applyFill="1" applyBorder="1" applyAlignment="1" quotePrefix="1">
      <alignment horizontal="center" vertical="center" wrapText="1"/>
    </xf>
    <xf numFmtId="194" fontId="92" fillId="34" borderId="20" xfId="42" applyNumberFormat="1" applyFont="1" applyFill="1" applyBorder="1" applyAlignment="1">
      <alignment horizontal="center" vertical="center"/>
    </xf>
    <xf numFmtId="171" fontId="93" fillId="34" borderId="20" xfId="42" applyNumberFormat="1" applyFont="1" applyFill="1" applyBorder="1" applyAlignment="1">
      <alignment horizontal="center" vertical="center"/>
    </xf>
    <xf numFmtId="43" fontId="93" fillId="34" borderId="20" xfId="42" applyFont="1" applyFill="1" applyBorder="1" applyAlignment="1">
      <alignment horizontal="center" vertical="center"/>
    </xf>
    <xf numFmtId="171" fontId="2" fillId="34" borderId="20" xfId="42" applyNumberFormat="1" applyFont="1" applyFill="1" applyBorder="1" applyAlignment="1">
      <alignment horizontal="center" vertical="center"/>
    </xf>
    <xf numFmtId="171" fontId="3" fillId="0" borderId="12" xfId="48" applyNumberFormat="1" applyFont="1" applyFill="1" applyBorder="1" applyAlignment="1">
      <alignment horizontal="center" vertical="center"/>
    </xf>
    <xf numFmtId="43" fontId="2" fillId="34" borderId="20" xfId="42" applyNumberFormat="1" applyFont="1" applyFill="1" applyBorder="1" applyAlignment="1">
      <alignment horizontal="center" vertical="center"/>
    </xf>
    <xf numFmtId="4" fontId="22" fillId="34" borderId="20" xfId="42" applyNumberFormat="1" applyFont="1" applyFill="1" applyBorder="1" applyAlignment="1">
      <alignment horizontal="center" vertical="center"/>
    </xf>
    <xf numFmtId="4" fontId="22" fillId="34" borderId="22" xfId="42" applyNumberFormat="1" applyFont="1" applyFill="1" applyBorder="1" applyAlignment="1">
      <alignment horizontal="center" vertical="center"/>
    </xf>
    <xf numFmtId="4" fontId="22" fillId="34" borderId="23" xfId="42" applyNumberFormat="1" applyFont="1" applyFill="1" applyBorder="1" applyAlignment="1">
      <alignment horizontal="center" vertical="center"/>
    </xf>
    <xf numFmtId="171" fontId="3" fillId="34" borderId="20" xfId="42" applyNumberFormat="1" applyFont="1" applyFill="1" applyBorder="1" applyAlignment="1">
      <alignment horizontal="center" vertical="center"/>
    </xf>
    <xf numFmtId="171" fontId="3" fillId="34" borderId="12" xfId="42" applyNumberFormat="1" applyFont="1" applyFill="1" applyBorder="1" applyAlignment="1">
      <alignment horizontal="center" vertical="center"/>
    </xf>
    <xf numFmtId="171" fontId="3" fillId="34" borderId="23" xfId="42" applyNumberFormat="1" applyFont="1" applyFill="1" applyBorder="1" applyAlignment="1">
      <alignment horizontal="center" vertical="center"/>
    </xf>
    <xf numFmtId="171" fontId="2" fillId="0" borderId="12" xfId="48" applyNumberFormat="1" applyFont="1" applyFill="1" applyBorder="1" applyAlignment="1">
      <alignment horizontal="center" vertical="center"/>
    </xf>
    <xf numFmtId="43" fontId="92" fillId="0" borderId="12" xfId="42" applyFont="1" applyBorder="1" applyAlignment="1" quotePrefix="1">
      <alignment horizontal="center" vertical="center" wrapText="1"/>
    </xf>
    <xf numFmtId="43" fontId="92" fillId="34" borderId="12" xfId="42" applyFont="1" applyFill="1" applyBorder="1" applyAlignment="1" quotePrefix="1">
      <alignment horizontal="center" vertical="center" wrapText="1"/>
    </xf>
    <xf numFmtId="183" fontId="2" fillId="0" borderId="12" xfId="48" applyNumberFormat="1" applyFont="1" applyFill="1" applyBorder="1" applyAlignment="1">
      <alignment horizontal="center" vertical="center"/>
    </xf>
    <xf numFmtId="43" fontId="93" fillId="34" borderId="12" xfId="42" applyFont="1" applyFill="1" applyBorder="1" applyAlignment="1" quotePrefix="1">
      <alignment horizontal="center" wrapText="1"/>
    </xf>
    <xf numFmtId="181" fontId="93" fillId="0" borderId="10" xfId="42" applyNumberFormat="1" applyFont="1" applyBorder="1" applyAlignment="1">
      <alignment horizontal="center" vertical="center" wrapText="1"/>
    </xf>
    <xf numFmtId="181" fontId="92" fillId="34" borderId="10" xfId="42" applyNumberFormat="1" applyFont="1" applyFill="1" applyBorder="1" applyAlignment="1" quotePrefix="1">
      <alignment horizontal="center" vertical="center" wrapText="1"/>
    </xf>
    <xf numFmtId="181" fontId="92" fillId="34" borderId="10" xfId="42" applyNumberFormat="1" applyFont="1" applyFill="1" applyBorder="1" applyAlignment="1">
      <alignment horizontal="center" vertical="center"/>
    </xf>
    <xf numFmtId="183" fontId="92" fillId="34" borderId="10" xfId="42" applyNumberFormat="1" applyFont="1" applyFill="1" applyBorder="1" applyAlignment="1">
      <alignment horizontal="center" vertical="center"/>
    </xf>
    <xf numFmtId="194" fontId="92" fillId="34" borderId="10" xfId="42" applyNumberFormat="1" applyFont="1" applyFill="1" applyBorder="1" applyAlignment="1">
      <alignment horizontal="center" vertical="center"/>
    </xf>
    <xf numFmtId="196" fontId="93" fillId="34" borderId="10" xfId="42" applyNumberFormat="1" applyFont="1" applyFill="1" applyBorder="1" applyAlignment="1">
      <alignment horizontal="center" vertical="center"/>
    </xf>
    <xf numFmtId="196" fontId="92" fillId="34" borderId="10" xfId="42" applyNumberFormat="1" applyFont="1" applyFill="1" applyBorder="1" applyAlignment="1">
      <alignment horizontal="center" vertical="center"/>
    </xf>
    <xf numFmtId="183" fontId="2" fillId="34" borderId="10" xfId="42" applyNumberFormat="1" applyFont="1" applyFill="1" applyBorder="1" applyAlignment="1">
      <alignment horizontal="center" vertical="center"/>
    </xf>
    <xf numFmtId="43" fontId="2" fillId="34" borderId="10" xfId="42" applyNumberFormat="1" applyFont="1" applyFill="1" applyBorder="1" applyAlignment="1">
      <alignment horizontal="center" vertical="center"/>
    </xf>
    <xf numFmtId="3" fontId="22" fillId="34" borderId="10" xfId="42" applyNumberFormat="1" applyFont="1" applyFill="1" applyBorder="1" applyAlignment="1">
      <alignment horizontal="right" vertical="center"/>
    </xf>
    <xf numFmtId="196" fontId="3" fillId="34" borderId="10" xfId="42" applyNumberFormat="1" applyFont="1" applyFill="1" applyBorder="1" applyAlignment="1">
      <alignment horizontal="center" vertical="center"/>
    </xf>
    <xf numFmtId="196" fontId="3" fillId="34" borderId="10" xfId="42" applyNumberFormat="1" applyFont="1" applyFill="1" applyBorder="1" applyAlignment="1">
      <alignment horizontal="right" vertical="center"/>
    </xf>
    <xf numFmtId="0" fontId="9" fillId="0" borderId="10" xfId="64" applyFont="1" applyFill="1" applyBorder="1" applyAlignment="1">
      <alignment horizontal="center" vertical="center"/>
      <protection/>
    </xf>
    <xf numFmtId="0" fontId="84" fillId="34" borderId="14" xfId="0" applyFont="1" applyFill="1" applyBorder="1" applyAlignment="1">
      <alignment horizontal="center" vertical="center"/>
    </xf>
    <xf numFmtId="0" fontId="84" fillId="34" borderId="14" xfId="0" applyFont="1" applyFill="1" applyBorder="1" applyAlignment="1">
      <alignment vertical="center"/>
    </xf>
    <xf numFmtId="171" fontId="84" fillId="34" borderId="14" xfId="42" applyNumberFormat="1" applyFont="1" applyFill="1" applyBorder="1" applyAlignment="1">
      <alignment horizontal="center" vertical="center"/>
    </xf>
    <xf numFmtId="0" fontId="96" fillId="0" borderId="24" xfId="0" applyNumberFormat="1" applyFont="1" applyBorder="1" applyAlignment="1">
      <alignment horizontal="left" vertical="center" wrapText="1"/>
    </xf>
    <xf numFmtId="171" fontId="86" fillId="34" borderId="14" xfId="42" applyNumberFormat="1" applyFont="1" applyFill="1" applyBorder="1" applyAlignment="1">
      <alignment horizontal="center" vertical="center"/>
    </xf>
    <xf numFmtId="183" fontId="83" fillId="34" borderId="14" xfId="42" applyNumberFormat="1" applyFont="1" applyFill="1" applyBorder="1" applyAlignment="1">
      <alignment horizontal="center" vertical="center"/>
    </xf>
    <xf numFmtId="0" fontId="96" fillId="0" borderId="10" xfId="0" applyFont="1" applyBorder="1" applyAlignment="1">
      <alignment horizontal="left" vertical="center" wrapText="1"/>
    </xf>
    <xf numFmtId="43" fontId="83" fillId="34" borderId="14" xfId="0" applyNumberFormat="1" applyFont="1" applyFill="1" applyBorder="1" applyAlignment="1">
      <alignment horizontal="center" vertical="center" wrapText="1"/>
    </xf>
    <xf numFmtId="0" fontId="86" fillId="34" borderId="0" xfId="0" applyFont="1" applyFill="1" applyAlignment="1">
      <alignment horizontal="center" vertical="center"/>
    </xf>
    <xf numFmtId="171" fontId="83" fillId="34" borderId="14" xfId="42" applyNumberFormat="1" applyFont="1" applyFill="1" applyBorder="1" applyAlignment="1">
      <alignment horizontal="center" vertical="center" wrapText="1"/>
    </xf>
    <xf numFmtId="0" fontId="83" fillId="34" borderId="14" xfId="0" applyFont="1" applyFill="1" applyBorder="1" applyAlignment="1">
      <alignment vertical="center" wrapText="1"/>
    </xf>
    <xf numFmtId="0" fontId="83" fillId="34" borderId="17" xfId="0" applyFont="1" applyFill="1" applyBorder="1" applyAlignment="1">
      <alignment vertical="center" wrapText="1"/>
    </xf>
    <xf numFmtId="0" fontId="83" fillId="34" borderId="25" xfId="0" applyFont="1" applyFill="1" applyBorder="1" applyAlignment="1">
      <alignment vertical="center" wrapText="1"/>
    </xf>
    <xf numFmtId="0" fontId="87" fillId="34" borderId="14" xfId="0" applyFont="1" applyFill="1" applyBorder="1" applyAlignment="1">
      <alignment vertical="center" wrapText="1"/>
    </xf>
    <xf numFmtId="0" fontId="2" fillId="0" borderId="10" xfId="0" applyFont="1" applyBorder="1" applyAlignment="1">
      <alignment horizontal="center" vertical="center"/>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171" fontId="7" fillId="0" borderId="0" xfId="48" applyNumberFormat="1" applyFont="1" applyFill="1" applyAlignment="1">
      <alignment/>
    </xf>
    <xf numFmtId="171" fontId="7" fillId="0" borderId="0" xfId="48" applyNumberFormat="1" applyFont="1" applyFill="1" applyAlignment="1">
      <alignment horizontal="center"/>
    </xf>
    <xf numFmtId="171" fontId="7" fillId="0" borderId="0" xfId="48" applyNumberFormat="1" applyFont="1" applyFill="1" applyAlignment="1">
      <alignment horizontal="right"/>
    </xf>
    <xf numFmtId="183" fontId="7" fillId="0" borderId="0" xfId="48" applyNumberFormat="1" applyFont="1" applyFill="1" applyAlignment="1">
      <alignment/>
    </xf>
    <xf numFmtId="183" fontId="7" fillId="0" borderId="0" xfId="64" applyNumberFormat="1" applyFont="1" applyFill="1">
      <alignment/>
      <protection/>
    </xf>
    <xf numFmtId="171" fontId="7" fillId="0" borderId="0" xfId="48" applyNumberFormat="1" applyFont="1" applyFill="1" applyAlignment="1">
      <alignment/>
    </xf>
    <xf numFmtId="183" fontId="7" fillId="0" borderId="0" xfId="48" applyNumberFormat="1" applyFont="1" applyFill="1" applyAlignment="1">
      <alignment/>
    </xf>
    <xf numFmtId="183" fontId="7" fillId="0" borderId="0" xfId="48" applyNumberFormat="1" applyFont="1" applyFill="1" applyAlignment="1">
      <alignment horizontal="center"/>
    </xf>
    <xf numFmtId="183" fontId="7" fillId="0" borderId="11" xfId="48" applyNumberFormat="1" applyFont="1" applyFill="1" applyBorder="1" applyAlignment="1">
      <alignment horizontal="center"/>
    </xf>
    <xf numFmtId="171" fontId="7" fillId="0" borderId="10" xfId="48" applyNumberFormat="1" applyFont="1" applyFill="1" applyBorder="1" applyAlignment="1">
      <alignment horizontal="right" vertical="center" wrapText="1"/>
    </xf>
    <xf numFmtId="171" fontId="7" fillId="0" borderId="10" xfId="48" applyNumberFormat="1" applyFont="1" applyFill="1" applyBorder="1" applyAlignment="1">
      <alignment horizontal="center" vertical="center" wrapText="1"/>
    </xf>
    <xf numFmtId="43" fontId="7" fillId="0" borderId="0" xfId="64" applyNumberFormat="1" applyFont="1" applyFill="1" applyAlignment="1">
      <alignment horizontal="center" vertical="center"/>
      <protection/>
    </xf>
    <xf numFmtId="183" fontId="4" fillId="0" borderId="10" xfId="64" applyNumberFormat="1" applyFont="1" applyFill="1" applyBorder="1" applyAlignment="1" quotePrefix="1">
      <alignment horizontal="center" vertical="center"/>
      <protection/>
    </xf>
    <xf numFmtId="183" fontId="4" fillId="0" borderId="10" xfId="48" applyNumberFormat="1" applyFont="1" applyFill="1" applyBorder="1" applyAlignment="1" quotePrefix="1">
      <alignment horizontal="center" vertical="center" wrapText="1"/>
    </xf>
    <xf numFmtId="183" fontId="4" fillId="0" borderId="10" xfId="48" applyNumberFormat="1" applyFont="1" applyFill="1" applyBorder="1" applyAlignment="1" quotePrefix="1">
      <alignment horizontal="right" vertical="center" wrapText="1"/>
    </xf>
    <xf numFmtId="171" fontId="4" fillId="0" borderId="10" xfId="48" applyNumberFormat="1" applyFont="1" applyFill="1" applyBorder="1" applyAlignment="1" quotePrefix="1">
      <alignment horizontal="right" vertical="center" wrapText="1"/>
    </xf>
    <xf numFmtId="183" fontId="4" fillId="0" borderId="10" xfId="48" applyNumberFormat="1" applyFont="1" applyFill="1" applyBorder="1" applyAlignment="1">
      <alignment horizontal="center" vertical="center" wrapText="1"/>
    </xf>
    <xf numFmtId="183" fontId="4" fillId="0" borderId="10" xfId="64" applyNumberFormat="1" applyFont="1" applyFill="1" applyBorder="1" applyAlignment="1" quotePrefix="1">
      <alignment horizontal="center" vertical="center" wrapText="1"/>
      <protection/>
    </xf>
    <xf numFmtId="43" fontId="7" fillId="0" borderId="10" xfId="48" applyNumberFormat="1" applyFont="1" applyFill="1" applyBorder="1" applyAlignment="1" quotePrefix="1">
      <alignment horizontal="center" vertical="center" wrapText="1"/>
    </xf>
    <xf numFmtId="181" fontId="7" fillId="0" borderId="10" xfId="48" applyNumberFormat="1" applyFont="1" applyFill="1" applyBorder="1" applyAlignment="1" quotePrefix="1">
      <alignment horizontal="center" vertical="center" wrapText="1"/>
    </xf>
    <xf numFmtId="183" fontId="7" fillId="0" borderId="10" xfId="48" applyNumberFormat="1" applyFont="1" applyFill="1" applyBorder="1" applyAlignment="1" quotePrefix="1">
      <alignment horizontal="center" vertical="center" wrapText="1"/>
    </xf>
    <xf numFmtId="0" fontId="7" fillId="0" borderId="10" xfId="64" applyFont="1" applyFill="1" applyBorder="1" applyAlignment="1">
      <alignment horizontal="center" vertical="center" wrapText="1"/>
      <protection/>
    </xf>
    <xf numFmtId="0" fontId="4" fillId="0" borderId="10" xfId="64" applyFont="1" applyFill="1" applyBorder="1" applyAlignment="1">
      <alignment horizontal="center" vertical="center" wrapText="1"/>
      <protection/>
    </xf>
    <xf numFmtId="0" fontId="11" fillId="0" borderId="10" xfId="64" applyFont="1" applyFill="1" applyBorder="1" applyAlignment="1">
      <alignment vertical="center" wrapText="1"/>
      <protection/>
    </xf>
    <xf numFmtId="183" fontId="7" fillId="0" borderId="10" xfId="48" applyNumberFormat="1" applyFont="1" applyFill="1" applyBorder="1" applyAlignment="1" quotePrefix="1">
      <alignment horizontal="right" vertical="center" wrapText="1"/>
    </xf>
    <xf numFmtId="171" fontId="7" fillId="0" borderId="10" xfId="48" applyNumberFormat="1" applyFont="1" applyFill="1" applyBorder="1" applyAlignment="1" quotePrefix="1">
      <alignment horizontal="right" vertical="center" wrapText="1"/>
    </xf>
    <xf numFmtId="183" fontId="7" fillId="0" borderId="10" xfId="64" applyNumberFormat="1" applyFont="1" applyFill="1" applyBorder="1" applyAlignment="1" quotePrefix="1">
      <alignment horizontal="center" vertical="center" wrapText="1"/>
      <protection/>
    </xf>
    <xf numFmtId="43" fontId="7" fillId="0" borderId="10" xfId="48" applyNumberFormat="1" applyFont="1" applyFill="1" applyBorder="1" applyAlignment="1" quotePrefix="1">
      <alignment horizontal="right" vertical="center" wrapText="1"/>
    </xf>
    <xf numFmtId="0" fontId="4" fillId="0" borderId="10" xfId="64" applyFont="1" applyFill="1" applyBorder="1">
      <alignment/>
      <protection/>
    </xf>
    <xf numFmtId="43" fontId="4" fillId="0" borderId="10" xfId="48" applyNumberFormat="1" applyFont="1" applyFill="1" applyBorder="1" applyAlignment="1" quotePrefix="1">
      <alignment horizontal="center" vertical="center" wrapText="1"/>
    </xf>
    <xf numFmtId="171" fontId="4" fillId="0" borderId="10" xfId="48" applyNumberFormat="1" applyFont="1" applyFill="1" applyBorder="1" applyAlignment="1">
      <alignment horizontal="right"/>
    </xf>
    <xf numFmtId="192" fontId="4" fillId="0" borderId="10" xfId="48" applyNumberFormat="1" applyFont="1" applyFill="1" applyBorder="1" applyAlignment="1">
      <alignment/>
    </xf>
    <xf numFmtId="171" fontId="4" fillId="0" borderId="10" xfId="48" applyNumberFormat="1" applyFont="1" applyFill="1" applyBorder="1" applyAlignment="1">
      <alignment horizontal="center" vertical="center"/>
    </xf>
    <xf numFmtId="191" fontId="4" fillId="0" borderId="10" xfId="64" applyNumberFormat="1" applyFont="1" applyFill="1" applyBorder="1">
      <alignment/>
      <protection/>
    </xf>
    <xf numFmtId="171" fontId="11" fillId="0" borderId="10" xfId="48" applyNumberFormat="1" applyFont="1" applyFill="1" applyBorder="1" applyAlignment="1">
      <alignment horizontal="center" vertical="center"/>
    </xf>
    <xf numFmtId="171" fontId="6" fillId="0" borderId="10" xfId="48" applyNumberFormat="1" applyFont="1" applyFill="1" applyBorder="1" applyAlignment="1">
      <alignment horizontal="center" vertical="center"/>
    </xf>
    <xf numFmtId="0" fontId="9" fillId="0" borderId="10" xfId="64" applyFont="1" applyFill="1" applyBorder="1" applyAlignment="1">
      <alignment horizontal="center" vertical="center" wrapText="1"/>
      <protection/>
    </xf>
    <xf numFmtId="0" fontId="9" fillId="0" borderId="10" xfId="64" applyFont="1" applyFill="1" applyBorder="1">
      <alignment/>
      <protection/>
    </xf>
    <xf numFmtId="43" fontId="9" fillId="0" borderId="10" xfId="48" applyNumberFormat="1" applyFont="1" applyFill="1" applyBorder="1" applyAlignment="1" quotePrefix="1">
      <alignment horizontal="center" vertical="center" wrapText="1"/>
    </xf>
    <xf numFmtId="171" fontId="9" fillId="0" borderId="10" xfId="48" applyNumberFormat="1" applyFont="1" applyFill="1" applyBorder="1" applyAlignment="1">
      <alignment horizontal="right"/>
    </xf>
    <xf numFmtId="192" fontId="9" fillId="0" borderId="10" xfId="48" applyNumberFormat="1" applyFont="1" applyFill="1" applyBorder="1" applyAlignment="1">
      <alignment/>
    </xf>
    <xf numFmtId="171" fontId="9" fillId="0" borderId="10" xfId="48" applyNumberFormat="1" applyFont="1" applyFill="1" applyBorder="1" applyAlignment="1">
      <alignment horizontal="center" vertical="center"/>
    </xf>
    <xf numFmtId="191" fontId="9" fillId="0" borderId="10" xfId="64" applyNumberFormat="1" applyFont="1" applyFill="1" applyBorder="1">
      <alignment/>
      <protection/>
    </xf>
    <xf numFmtId="171" fontId="31" fillId="0" borderId="10" xfId="48" applyNumberFormat="1" applyFont="1" applyFill="1" applyBorder="1" applyAlignment="1">
      <alignment horizontal="center" vertical="center"/>
    </xf>
    <xf numFmtId="171" fontId="8" fillId="0" borderId="10" xfId="48" applyNumberFormat="1" applyFont="1" applyFill="1" applyBorder="1" applyAlignment="1">
      <alignment horizontal="center" vertical="center"/>
    </xf>
    <xf numFmtId="183" fontId="9" fillId="0" borderId="10" xfId="48" applyNumberFormat="1" applyFont="1" applyFill="1" applyBorder="1" applyAlignment="1">
      <alignment horizontal="center" vertical="center"/>
    </xf>
    <xf numFmtId="183" fontId="9" fillId="0" borderId="10" xfId="48" applyNumberFormat="1" applyFont="1" applyFill="1" applyBorder="1" applyAlignment="1" quotePrefix="1">
      <alignment horizontal="center" vertical="center" wrapText="1"/>
    </xf>
    <xf numFmtId="183" fontId="9" fillId="0" borderId="0" xfId="64" applyNumberFormat="1" applyFont="1" applyFill="1" applyAlignment="1">
      <alignment horizontal="center" vertical="center"/>
      <protection/>
    </xf>
    <xf numFmtId="0" fontId="32" fillId="0" borderId="10" xfId="64" applyFont="1" applyFill="1" applyBorder="1" applyAlignment="1">
      <alignment/>
      <protection/>
    </xf>
    <xf numFmtId="2" fontId="32" fillId="0" borderId="10" xfId="64" applyNumberFormat="1" applyFont="1" applyFill="1" applyBorder="1" applyAlignment="1">
      <alignment horizontal="right"/>
      <protection/>
    </xf>
    <xf numFmtId="2" fontId="9" fillId="0" borderId="10" xfId="48" applyNumberFormat="1" applyFont="1" applyFill="1" applyBorder="1" applyAlignment="1" quotePrefix="1">
      <alignment horizontal="center" vertical="center" wrapText="1"/>
    </xf>
    <xf numFmtId="171" fontId="32" fillId="0" borderId="10" xfId="48" applyNumberFormat="1" applyFont="1" applyFill="1" applyBorder="1" applyAlignment="1">
      <alignment horizontal="center" vertical="center"/>
    </xf>
    <xf numFmtId="171" fontId="32" fillId="0" borderId="10" xfId="50" applyNumberFormat="1" applyFont="1" applyFill="1" applyBorder="1" applyAlignment="1">
      <alignment horizontal="center"/>
    </xf>
    <xf numFmtId="190" fontId="32" fillId="0" borderId="10" xfId="49" applyNumberFormat="1" applyFont="1" applyFill="1" applyBorder="1" applyAlignment="1">
      <alignment/>
    </xf>
    <xf numFmtId="188" fontId="32" fillId="0" borderId="10" xfId="49" applyNumberFormat="1" applyFont="1" applyFill="1" applyBorder="1" applyAlignment="1">
      <alignment/>
    </xf>
    <xf numFmtId="171" fontId="9" fillId="0" borderId="10" xfId="48" applyNumberFormat="1" applyFont="1" applyFill="1" applyBorder="1" applyAlignment="1" quotePrefix="1">
      <alignment horizontal="right" vertical="center" wrapText="1"/>
    </xf>
    <xf numFmtId="171" fontId="33" fillId="0" borderId="10" xfId="48" applyNumberFormat="1" applyFont="1" applyFill="1" applyBorder="1" applyAlignment="1">
      <alignment horizontal="center" vertical="center"/>
    </xf>
    <xf numFmtId="4" fontId="9" fillId="0" borderId="10" xfId="64" applyNumberFormat="1" applyFont="1" applyFill="1" applyBorder="1">
      <alignment/>
      <protection/>
    </xf>
    <xf numFmtId="0" fontId="9" fillId="0" borderId="10" xfId="64" applyFont="1" applyFill="1" applyBorder="1" applyAlignment="1">
      <alignment/>
      <protection/>
    </xf>
    <xf numFmtId="171" fontId="9" fillId="0" borderId="0" xfId="64" applyNumberFormat="1" applyFont="1" applyFill="1" applyAlignment="1">
      <alignment horizontal="center" vertical="center"/>
      <protection/>
    </xf>
    <xf numFmtId="0" fontId="7" fillId="0" borderId="10" xfId="64" applyFont="1" applyFill="1" applyBorder="1" applyAlignment="1">
      <alignment/>
      <protection/>
    </xf>
    <xf numFmtId="171" fontId="9" fillId="0" borderId="10" xfId="48" applyNumberFormat="1" applyFont="1" applyFill="1" applyBorder="1" applyAlignment="1">
      <alignment horizontal="right" vertical="center"/>
    </xf>
    <xf numFmtId="171" fontId="34" fillId="0" borderId="10" xfId="48" applyNumberFormat="1" applyFont="1" applyFill="1" applyBorder="1" applyAlignment="1">
      <alignment horizontal="center" vertical="center"/>
    </xf>
    <xf numFmtId="171" fontId="9" fillId="0" borderId="10" xfId="48" applyNumberFormat="1" applyFont="1" applyFill="1" applyBorder="1" applyAlignment="1" quotePrefix="1">
      <alignment horizontal="center" vertical="center" wrapText="1"/>
    </xf>
    <xf numFmtId="185" fontId="9" fillId="0" borderId="10" xfId="48" applyNumberFormat="1" applyFont="1" applyFill="1" applyBorder="1" applyAlignment="1">
      <alignment horizontal="right" vertical="center"/>
    </xf>
    <xf numFmtId="185" fontId="9" fillId="0" borderId="10" xfId="48" applyNumberFormat="1" applyFont="1" applyFill="1" applyBorder="1" applyAlignment="1" quotePrefix="1">
      <alignment horizontal="center" vertical="center" wrapText="1"/>
    </xf>
    <xf numFmtId="43" fontId="9" fillId="0" borderId="0" xfId="42" applyFont="1" applyFill="1" applyAlignment="1">
      <alignment horizontal="center" vertical="center"/>
    </xf>
    <xf numFmtId="0" fontId="4" fillId="0" borderId="10" xfId="64" applyFont="1" applyFill="1" applyBorder="1" applyAlignment="1">
      <alignment/>
      <protection/>
    </xf>
    <xf numFmtId="171" fontId="4" fillId="0" borderId="10" xfId="48" applyNumberFormat="1" applyFont="1" applyFill="1" applyBorder="1" applyAlignment="1">
      <alignment horizontal="right" vertical="center"/>
    </xf>
    <xf numFmtId="171" fontId="7" fillId="0" borderId="10" xfId="48" applyNumberFormat="1" applyFont="1" applyFill="1" applyBorder="1" applyAlignment="1">
      <alignment horizontal="center" vertical="center"/>
    </xf>
    <xf numFmtId="0" fontId="35" fillId="0" borderId="10" xfId="64" applyFont="1" applyFill="1" applyBorder="1" applyAlignment="1">
      <alignment vertical="center"/>
      <protection/>
    </xf>
    <xf numFmtId="0" fontId="32" fillId="0" borderId="10" xfId="64" applyFont="1" applyFill="1" applyBorder="1" applyAlignment="1">
      <alignment horizontal="right"/>
      <protection/>
    </xf>
    <xf numFmtId="4" fontId="32" fillId="0" borderId="10" xfId="64" applyNumberFormat="1" applyFont="1" applyFill="1" applyBorder="1" applyAlignment="1">
      <alignment horizontal="right"/>
      <protection/>
    </xf>
    <xf numFmtId="188" fontId="32" fillId="0" borderId="10" xfId="49" applyNumberFormat="1" applyFont="1" applyFill="1" applyBorder="1" applyAlignment="1">
      <alignment horizontal="right"/>
    </xf>
    <xf numFmtId="4" fontId="32" fillId="0" borderId="10" xfId="68" applyNumberFormat="1" applyFont="1" applyFill="1" applyBorder="1" applyAlignment="1">
      <alignment horizontal="right"/>
      <protection/>
    </xf>
    <xf numFmtId="188" fontId="32" fillId="0" borderId="10" xfId="49" applyNumberFormat="1" applyFont="1" applyFill="1" applyBorder="1" applyAlignment="1">
      <alignment/>
    </xf>
    <xf numFmtId="0" fontId="28" fillId="0" borderId="10" xfId="64" applyFont="1" applyFill="1" applyBorder="1" applyAlignment="1">
      <alignment/>
      <protection/>
    </xf>
    <xf numFmtId="4" fontId="28" fillId="0" borderId="10" xfId="69" applyNumberFormat="1" applyFont="1" applyFill="1" applyBorder="1" applyAlignment="1">
      <alignment horizontal="right"/>
      <protection/>
    </xf>
    <xf numFmtId="171" fontId="28" fillId="0" borderId="10" xfId="48" applyNumberFormat="1" applyFont="1" applyFill="1" applyBorder="1" applyAlignment="1">
      <alignment horizontal="center" vertical="center"/>
    </xf>
    <xf numFmtId="171" fontId="29" fillId="0" borderId="10" xfId="48" applyNumberFormat="1" applyFont="1" applyFill="1" applyBorder="1" applyAlignment="1">
      <alignment horizontal="center" vertical="center"/>
    </xf>
    <xf numFmtId="183" fontId="7" fillId="0" borderId="10" xfId="48" applyNumberFormat="1" applyFont="1" applyFill="1" applyBorder="1" applyAlignment="1">
      <alignment horizontal="center" vertical="center"/>
    </xf>
    <xf numFmtId="0" fontId="6" fillId="0" borderId="10" xfId="64" applyFont="1" applyFill="1" applyBorder="1" applyAlignment="1">
      <alignment vertical="center"/>
      <protection/>
    </xf>
    <xf numFmtId="171" fontId="7" fillId="0" borderId="10" xfId="48" applyNumberFormat="1" applyFont="1" applyFill="1" applyBorder="1" applyAlignment="1">
      <alignment horizontal="center"/>
    </xf>
    <xf numFmtId="171" fontId="7" fillId="0" borderId="10" xfId="48" applyNumberFormat="1" applyFont="1" applyFill="1" applyBorder="1" applyAlignment="1">
      <alignment/>
    </xf>
    <xf numFmtId="0" fontId="4" fillId="0" borderId="10" xfId="64" applyFont="1" applyFill="1" applyBorder="1" applyAlignment="1">
      <alignment horizontal="center"/>
      <protection/>
    </xf>
    <xf numFmtId="171" fontId="4" fillId="0" borderId="10" xfId="48" applyNumberFormat="1" applyFont="1" applyFill="1" applyBorder="1" applyAlignment="1">
      <alignment horizontal="center"/>
    </xf>
    <xf numFmtId="171" fontId="4" fillId="0" borderId="10" xfId="48" applyNumberFormat="1" applyFont="1" applyFill="1" applyBorder="1" applyAlignment="1">
      <alignment/>
    </xf>
    <xf numFmtId="171" fontId="4" fillId="0" borderId="10" xfId="48" applyNumberFormat="1" applyFont="1" applyFill="1" applyBorder="1" applyAlignment="1">
      <alignment horizontal="left"/>
    </xf>
    <xf numFmtId="0" fontId="9" fillId="0" borderId="10" xfId="64" applyFont="1" applyFill="1" applyBorder="1" applyAlignment="1">
      <alignment horizontal="center"/>
      <protection/>
    </xf>
    <xf numFmtId="0" fontId="9" fillId="0" borderId="10" xfId="67" applyFont="1" applyFill="1" applyBorder="1" applyAlignment="1">
      <alignment/>
      <protection/>
    </xf>
    <xf numFmtId="171" fontId="9" fillId="0" borderId="10" xfId="48" applyNumberFormat="1" applyFont="1" applyFill="1" applyBorder="1" applyAlignment="1">
      <alignment horizontal="center"/>
    </xf>
    <xf numFmtId="171" fontId="9" fillId="0" borderId="10" xfId="48" applyNumberFormat="1" applyFont="1" applyFill="1" applyBorder="1" applyAlignment="1">
      <alignment/>
    </xf>
    <xf numFmtId="4" fontId="9" fillId="0" borderId="10" xfId="67" applyNumberFormat="1" applyFont="1" applyFill="1" applyBorder="1" applyAlignment="1">
      <alignment horizontal="right"/>
      <protection/>
    </xf>
    <xf numFmtId="171" fontId="8" fillId="0" borderId="10" xfId="48" applyNumberFormat="1" applyFont="1" applyFill="1" applyBorder="1" applyAlignment="1">
      <alignment horizontal="right" vertical="center"/>
    </xf>
    <xf numFmtId="183" fontId="9" fillId="0" borderId="10" xfId="64" applyNumberFormat="1" applyFont="1" applyFill="1" applyBorder="1" applyAlignment="1">
      <alignment horizontal="center" vertical="center"/>
      <protection/>
    </xf>
    <xf numFmtId="183" fontId="34" fillId="0" borderId="0" xfId="64" applyNumberFormat="1" applyFont="1" applyFill="1" applyAlignment="1">
      <alignment horizontal="center" vertical="center"/>
      <protection/>
    </xf>
    <xf numFmtId="0" fontId="9" fillId="0" borderId="10" xfId="64" applyFont="1" applyFill="1" applyBorder="1" applyAlignment="1">
      <alignment horizontal="left"/>
      <protection/>
    </xf>
    <xf numFmtId="191" fontId="9" fillId="0" borderId="10" xfId="67" applyNumberFormat="1" applyFont="1" applyFill="1" applyBorder="1" applyAlignment="1">
      <alignment horizontal="right"/>
      <protection/>
    </xf>
    <xf numFmtId="191" fontId="9" fillId="0" borderId="10" xfId="48" applyNumberFormat="1" applyFont="1" applyFill="1" applyBorder="1" applyAlignment="1">
      <alignment horizontal="right" vertical="center"/>
    </xf>
    <xf numFmtId="0" fontId="7" fillId="0" borderId="10" xfId="64" applyFont="1" applyFill="1" applyBorder="1" applyAlignment="1">
      <alignment horizontal="center"/>
      <protection/>
    </xf>
    <xf numFmtId="0" fontId="7" fillId="33" borderId="10" xfId="64" applyFont="1" applyFill="1" applyBorder="1" applyAlignment="1">
      <alignment horizontal="center"/>
      <protection/>
    </xf>
    <xf numFmtId="0" fontId="7" fillId="33" borderId="10" xfId="64" applyFont="1" applyFill="1" applyBorder="1" applyAlignment="1">
      <alignment horizontal="left"/>
      <protection/>
    </xf>
    <xf numFmtId="171" fontId="7" fillId="33" borderId="10" xfId="48" applyNumberFormat="1" applyFont="1" applyFill="1" applyBorder="1" applyAlignment="1">
      <alignment horizontal="center"/>
    </xf>
    <xf numFmtId="171" fontId="7" fillId="33" borderId="10" xfId="48" applyNumberFormat="1" applyFont="1" applyFill="1" applyBorder="1" applyAlignment="1">
      <alignment/>
    </xf>
    <xf numFmtId="171" fontId="7" fillId="33" borderId="10" xfId="48" applyNumberFormat="1" applyFont="1" applyFill="1" applyBorder="1" applyAlignment="1">
      <alignment horizontal="center" vertical="center"/>
    </xf>
    <xf numFmtId="0" fontId="4" fillId="0" borderId="10" xfId="64" applyFont="1" applyFill="1" applyBorder="1" applyAlignment="1">
      <alignment horizontal="left"/>
      <protection/>
    </xf>
    <xf numFmtId="181" fontId="7" fillId="0" borderId="10" xfId="48" applyNumberFormat="1" applyFont="1" applyFill="1" applyBorder="1" applyAlignment="1">
      <alignment horizontal="center" vertical="center"/>
    </xf>
    <xf numFmtId="0" fontId="25" fillId="0" borderId="10" xfId="64" applyFont="1" applyFill="1" applyBorder="1" applyAlignment="1">
      <alignment vertical="center"/>
      <protection/>
    </xf>
    <xf numFmtId="185" fontId="7" fillId="0" borderId="10" xfId="48" applyNumberFormat="1" applyFont="1" applyFill="1" applyBorder="1" applyAlignment="1">
      <alignment horizontal="center" vertical="center"/>
    </xf>
    <xf numFmtId="185" fontId="4" fillId="0" borderId="10" xfId="48" applyNumberFormat="1" applyFont="1" applyFill="1" applyBorder="1" applyAlignment="1">
      <alignment horizontal="center" vertical="center"/>
    </xf>
    <xf numFmtId="171" fontId="4" fillId="0" borderId="10" xfId="45" applyNumberFormat="1" applyFont="1" applyFill="1" applyBorder="1" applyAlignment="1">
      <alignment horizontal="center"/>
    </xf>
    <xf numFmtId="183" fontId="4" fillId="0" borderId="10" xfId="64" applyNumberFormat="1" applyFont="1" applyFill="1" applyBorder="1">
      <alignment/>
      <protection/>
    </xf>
    <xf numFmtId="0" fontId="12" fillId="0" borderId="10" xfId="65" applyFont="1" applyFill="1" applyBorder="1" applyAlignment="1">
      <alignment horizontal="left"/>
      <protection/>
    </xf>
    <xf numFmtId="0" fontId="7" fillId="0" borderId="10" xfId="64" applyFont="1" applyFill="1" applyBorder="1" applyAlignment="1">
      <alignment vertical="center"/>
      <protection/>
    </xf>
    <xf numFmtId="0" fontId="7" fillId="0" borderId="10" xfId="64" applyFont="1" applyFill="1" applyBorder="1" applyAlignment="1">
      <alignment horizontal="left" vertical="center"/>
      <protection/>
    </xf>
    <xf numFmtId="0" fontId="36" fillId="0" borderId="10" xfId="64" applyFont="1" applyFill="1" applyBorder="1" applyAlignment="1">
      <alignment vertical="center"/>
      <protection/>
    </xf>
    <xf numFmtId="0" fontId="30" fillId="0" borderId="10" xfId="64" applyFont="1" applyFill="1" applyBorder="1">
      <alignment/>
      <protection/>
    </xf>
    <xf numFmtId="4" fontId="30" fillId="0" borderId="10" xfId="70" applyNumberFormat="1" applyFont="1" applyFill="1" applyBorder="1" applyAlignment="1">
      <alignment horizontal="right"/>
      <protection/>
    </xf>
    <xf numFmtId="171" fontId="30" fillId="0" borderId="10" xfId="48" applyNumberFormat="1" applyFont="1" applyFill="1" applyBorder="1" applyAlignment="1">
      <alignment horizontal="center" vertical="center"/>
    </xf>
    <xf numFmtId="171" fontId="30" fillId="0" borderId="10" xfId="50" applyNumberFormat="1" applyFont="1" applyFill="1" applyBorder="1" applyAlignment="1">
      <alignment horizontal="center"/>
    </xf>
    <xf numFmtId="171" fontId="30" fillId="0" borderId="14" xfId="48" applyNumberFormat="1" applyFont="1" applyFill="1" applyBorder="1" applyAlignment="1">
      <alignment horizontal="center" vertical="center"/>
    </xf>
    <xf numFmtId="188" fontId="30" fillId="0" borderId="10" xfId="49" applyNumberFormat="1" applyFont="1" applyFill="1" applyBorder="1" applyAlignment="1">
      <alignment/>
    </xf>
    <xf numFmtId="171" fontId="6" fillId="0" borderId="10" xfId="48" applyNumberFormat="1" applyFont="1" applyFill="1" applyBorder="1" applyAlignment="1">
      <alignment horizontal="right" vertical="center"/>
    </xf>
    <xf numFmtId="171" fontId="37" fillId="0" borderId="10" xfId="48" applyNumberFormat="1" applyFont="1" applyFill="1" applyBorder="1" applyAlignment="1">
      <alignment horizontal="center" vertical="center"/>
    </xf>
    <xf numFmtId="188" fontId="30" fillId="0" borderId="10" xfId="49" applyNumberFormat="1" applyFont="1" applyFill="1" applyBorder="1" applyAlignment="1">
      <alignment horizontal="right"/>
    </xf>
    <xf numFmtId="0" fontId="30" fillId="0" borderId="10" xfId="64" applyFont="1" applyFill="1" applyBorder="1" applyAlignment="1">
      <alignment horizontal="left"/>
      <protection/>
    </xf>
    <xf numFmtId="0" fontId="30" fillId="0" borderId="10" xfId="64" applyFont="1" applyFill="1" applyBorder="1" applyAlignment="1">
      <alignment horizontal="left" vertical="center"/>
      <protection/>
    </xf>
    <xf numFmtId="4" fontId="30" fillId="0" borderId="10" xfId="69" applyNumberFormat="1" applyFont="1" applyFill="1" applyBorder="1" applyAlignment="1">
      <alignment horizontal="right"/>
      <protection/>
    </xf>
    <xf numFmtId="171" fontId="36" fillId="0" borderId="10" xfId="48" applyNumberFormat="1" applyFont="1" applyFill="1" applyBorder="1" applyAlignment="1">
      <alignment horizontal="center" vertical="center"/>
    </xf>
    <xf numFmtId="171" fontId="30" fillId="0" borderId="15" xfId="48" applyNumberFormat="1" applyFont="1" applyFill="1" applyBorder="1" applyAlignment="1">
      <alignment horizontal="center" vertical="center"/>
    </xf>
    <xf numFmtId="0" fontId="37" fillId="0" borderId="10" xfId="64" applyFont="1" applyFill="1" applyBorder="1" applyAlignment="1">
      <alignment horizontal="left"/>
      <protection/>
    </xf>
    <xf numFmtId="0" fontId="34" fillId="0" borderId="10" xfId="64" applyFont="1" applyFill="1" applyBorder="1" applyAlignment="1">
      <alignment horizontal="center"/>
      <protection/>
    </xf>
    <xf numFmtId="0" fontId="38" fillId="0" borderId="10" xfId="64" applyFont="1" applyFill="1" applyBorder="1">
      <alignment/>
      <protection/>
    </xf>
    <xf numFmtId="185" fontId="9" fillId="0" borderId="10" xfId="48" applyNumberFormat="1" applyFont="1" applyFill="1" applyBorder="1" applyAlignment="1">
      <alignment horizontal="center" vertical="center"/>
    </xf>
    <xf numFmtId="4" fontId="38" fillId="0" borderId="10" xfId="69" applyNumberFormat="1" applyFont="1" applyFill="1" applyBorder="1" applyAlignment="1">
      <alignment horizontal="right"/>
      <protection/>
    </xf>
    <xf numFmtId="171" fontId="38" fillId="0" borderId="10" xfId="48" applyNumberFormat="1" applyFont="1" applyFill="1" applyBorder="1" applyAlignment="1">
      <alignment horizontal="center" vertical="center"/>
    </xf>
    <xf numFmtId="171" fontId="31" fillId="0" borderId="10" xfId="48" applyNumberFormat="1" applyFont="1" applyFill="1" applyBorder="1" applyAlignment="1">
      <alignment horizontal="right" vertical="center"/>
    </xf>
    <xf numFmtId="171" fontId="39" fillId="0" borderId="10" xfId="48" applyNumberFormat="1" applyFont="1" applyFill="1" applyBorder="1" applyAlignment="1">
      <alignment horizontal="center" vertical="center"/>
    </xf>
    <xf numFmtId="0" fontId="9" fillId="0" borderId="26" xfId="64" applyFont="1" applyFill="1" applyBorder="1" applyAlignment="1">
      <alignment/>
      <protection/>
    </xf>
    <xf numFmtId="183" fontId="34" fillId="0" borderId="10" xfId="64" applyNumberFormat="1" applyFont="1" applyFill="1" applyBorder="1" applyAlignment="1">
      <alignment horizontal="center" vertical="center"/>
      <protection/>
    </xf>
    <xf numFmtId="0" fontId="38" fillId="0" borderId="10" xfId="64" applyFont="1" applyFill="1" applyBorder="1" applyAlignment="1">
      <alignment horizontal="left"/>
      <protection/>
    </xf>
    <xf numFmtId="171" fontId="30" fillId="0" borderId="10" xfId="45" applyNumberFormat="1" applyFont="1" applyFill="1" applyBorder="1" applyAlignment="1">
      <alignment horizontal="right"/>
    </xf>
    <xf numFmtId="0" fontId="30" fillId="0" borderId="10" xfId="65" applyFont="1" applyFill="1" applyBorder="1">
      <alignment/>
      <protection/>
    </xf>
    <xf numFmtId="0" fontId="30" fillId="0" borderId="10" xfId="65" applyFont="1" applyFill="1" applyBorder="1" applyAlignment="1">
      <alignment horizontal="center"/>
      <protection/>
    </xf>
    <xf numFmtId="171" fontId="30" fillId="0" borderId="10" xfId="65" applyNumberFormat="1" applyFont="1" applyFill="1" applyBorder="1" applyAlignment="1">
      <alignment horizontal="center"/>
      <protection/>
    </xf>
    <xf numFmtId="188" fontId="30" fillId="0" borderId="10" xfId="65" applyNumberFormat="1" applyFont="1" applyFill="1" applyBorder="1">
      <alignment/>
      <protection/>
    </xf>
    <xf numFmtId="180" fontId="30" fillId="0" borderId="10" xfId="49" applyNumberFormat="1" applyFont="1" applyFill="1" applyBorder="1" applyAlignment="1">
      <alignment/>
    </xf>
    <xf numFmtId="171" fontId="11" fillId="0" borderId="10" xfId="48" applyNumberFormat="1" applyFont="1" applyFill="1" applyBorder="1" applyAlignment="1">
      <alignment horizontal="right" vertical="center"/>
    </xf>
    <xf numFmtId="171" fontId="40" fillId="0" borderId="10" xfId="48" applyNumberFormat="1" applyFont="1" applyFill="1" applyBorder="1" applyAlignment="1">
      <alignment horizontal="center" vertical="center"/>
    </xf>
    <xf numFmtId="0" fontId="7" fillId="0" borderId="10" xfId="64" applyFont="1" applyFill="1" applyBorder="1" applyAlignment="1">
      <alignment horizontal="left"/>
      <protection/>
    </xf>
    <xf numFmtId="0" fontId="9" fillId="0" borderId="12" xfId="67" applyFont="1" applyFill="1" applyBorder="1" applyAlignment="1">
      <alignment/>
      <protection/>
    </xf>
    <xf numFmtId="4" fontId="9" fillId="0" borderId="10" xfId="48" applyNumberFormat="1" applyFont="1" applyFill="1" applyBorder="1" applyAlignment="1">
      <alignment horizontal="center" vertical="center"/>
    </xf>
    <xf numFmtId="0" fontId="9" fillId="0" borderId="26" xfId="64" applyFont="1" applyFill="1" applyBorder="1" applyAlignment="1">
      <alignment horizontal="left"/>
      <protection/>
    </xf>
    <xf numFmtId="0" fontId="9" fillId="0" borderId="27" xfId="64" applyFont="1" applyFill="1" applyBorder="1" applyAlignment="1">
      <alignment horizontal="left"/>
      <protection/>
    </xf>
    <xf numFmtId="0" fontId="9" fillId="0" borderId="0" xfId="64" applyFont="1" applyFill="1" applyBorder="1" applyAlignment="1">
      <alignment horizontal="left"/>
      <protection/>
    </xf>
    <xf numFmtId="0" fontId="9" fillId="0" borderId="12" xfId="64" applyFont="1" applyFill="1" applyBorder="1" applyAlignment="1">
      <alignment horizontal="left"/>
      <protection/>
    </xf>
    <xf numFmtId="0" fontId="4" fillId="0" borderId="12" xfId="64" applyFont="1" applyFill="1" applyBorder="1" applyAlignment="1">
      <alignment horizontal="left"/>
      <protection/>
    </xf>
    <xf numFmtId="4" fontId="4" fillId="0" borderId="10" xfId="67" applyNumberFormat="1" applyFont="1" applyFill="1" applyBorder="1" applyAlignment="1">
      <alignment horizontal="right"/>
      <protection/>
    </xf>
    <xf numFmtId="0" fontId="4" fillId="0" borderId="10" xfId="65" applyFont="1" applyFill="1" applyBorder="1">
      <alignment/>
      <protection/>
    </xf>
    <xf numFmtId="2" fontId="30" fillId="0" borderId="10" xfId="65" applyNumberFormat="1" applyFont="1" applyFill="1" applyBorder="1" applyAlignment="1">
      <alignment horizontal="center"/>
      <protection/>
    </xf>
    <xf numFmtId="189" fontId="30" fillId="0" borderId="10" xfId="65" applyNumberFormat="1" applyFont="1" applyFill="1" applyBorder="1">
      <alignment/>
      <protection/>
    </xf>
    <xf numFmtId="2" fontId="30" fillId="0" borderId="10" xfId="65" applyNumberFormat="1" applyFont="1" applyFill="1" applyBorder="1">
      <alignment/>
      <protection/>
    </xf>
    <xf numFmtId="0" fontId="4" fillId="0" borderId="10" xfId="65" applyFont="1" applyFill="1" applyBorder="1" applyAlignment="1">
      <alignment horizontal="left"/>
      <protection/>
    </xf>
    <xf numFmtId="0" fontId="4" fillId="0" borderId="10" xfId="64" applyFont="1" applyFill="1" applyBorder="1" applyAlignment="1">
      <alignment vertical="center"/>
      <protection/>
    </xf>
    <xf numFmtId="171" fontId="7" fillId="0" borderId="10" xfId="48" applyNumberFormat="1" applyFont="1" applyFill="1" applyBorder="1" applyAlignment="1">
      <alignment horizontal="right" vertical="center"/>
    </xf>
    <xf numFmtId="0" fontId="4" fillId="0" borderId="10" xfId="64" applyFont="1" applyFill="1" applyBorder="1" applyAlignment="1">
      <alignment horizontal="left" vertical="center"/>
      <protection/>
    </xf>
    <xf numFmtId="183" fontId="7" fillId="0" borderId="10" xfId="46" applyNumberFormat="1" applyFont="1" applyFill="1" applyBorder="1" applyAlignment="1">
      <alignment vertical="center"/>
    </xf>
    <xf numFmtId="183" fontId="4" fillId="0" borderId="10" xfId="46" applyNumberFormat="1" applyFont="1" applyFill="1" applyBorder="1" applyAlignment="1">
      <alignment vertical="center"/>
    </xf>
    <xf numFmtId="186" fontId="4" fillId="0" borderId="10" xfId="48" applyNumberFormat="1" applyFont="1" applyFill="1" applyBorder="1" applyAlignment="1">
      <alignment horizontal="center" vertical="center"/>
    </xf>
    <xf numFmtId="183" fontId="7" fillId="0" borderId="10" xfId="45" applyNumberFormat="1" applyFont="1" applyFill="1" applyBorder="1" applyAlignment="1">
      <alignment horizontal="left" vertical="center"/>
    </xf>
    <xf numFmtId="185" fontId="7" fillId="0" borderId="10" xfId="48" applyNumberFormat="1" applyFont="1" applyFill="1" applyBorder="1" applyAlignment="1">
      <alignment horizontal="right" vertical="center"/>
    </xf>
    <xf numFmtId="0" fontId="4" fillId="0" borderId="10" xfId="64" applyFont="1" applyFill="1" applyBorder="1" applyAlignment="1">
      <alignment vertical="center" wrapText="1"/>
      <protection/>
    </xf>
    <xf numFmtId="0" fontId="7" fillId="0" borderId="0" xfId="64" applyFont="1" applyFill="1" applyBorder="1" applyAlignment="1">
      <alignment horizontal="center" vertical="center"/>
      <protection/>
    </xf>
    <xf numFmtId="0" fontId="4" fillId="0" borderId="0" xfId="64" applyFont="1" applyFill="1" applyBorder="1" applyAlignment="1">
      <alignment horizontal="center" vertical="center"/>
      <protection/>
    </xf>
    <xf numFmtId="43" fontId="7" fillId="0" borderId="10" xfId="48" applyNumberFormat="1" applyFont="1" applyFill="1" applyBorder="1" applyAlignment="1">
      <alignment horizontal="center" vertical="center"/>
    </xf>
    <xf numFmtId="185" fontId="7" fillId="0" borderId="0" xfId="64" applyNumberFormat="1" applyFont="1" applyFill="1" applyAlignment="1">
      <alignment horizontal="center" vertical="center"/>
      <protection/>
    </xf>
    <xf numFmtId="0" fontId="32" fillId="0" borderId="10" xfId="64" applyFont="1" applyFill="1" applyBorder="1" applyAlignment="1">
      <alignment horizontal="left" vertical="center" wrapText="1"/>
      <protection/>
    </xf>
    <xf numFmtId="0" fontId="28" fillId="0" borderId="10" xfId="64" applyFont="1" applyFill="1" applyBorder="1" applyAlignment="1">
      <alignment horizontal="right" vertical="center" wrapText="1"/>
      <protection/>
    </xf>
    <xf numFmtId="0" fontId="32" fillId="0" borderId="18" xfId="64" applyFont="1" applyFill="1" applyBorder="1" applyAlignment="1">
      <alignment horizontal="left" vertical="center" wrapText="1"/>
      <protection/>
    </xf>
    <xf numFmtId="0" fontId="9" fillId="0" borderId="10" xfId="64" applyFont="1" applyFill="1" applyBorder="1" applyAlignment="1">
      <alignment vertical="center"/>
      <protection/>
    </xf>
    <xf numFmtId="0" fontId="28" fillId="0" borderId="10" xfId="64" applyFont="1" applyFill="1" applyBorder="1" applyAlignment="1">
      <alignment horizontal="left" vertical="center" wrapText="1"/>
      <protection/>
    </xf>
    <xf numFmtId="0" fontId="6" fillId="0" borderId="0" xfId="64" applyFont="1" applyFill="1" applyBorder="1" applyAlignment="1">
      <alignment horizontal="center" vertical="center"/>
      <protection/>
    </xf>
    <xf numFmtId="1" fontId="7" fillId="0" borderId="10" xfId="48" applyNumberFormat="1" applyFont="1" applyFill="1" applyBorder="1" applyAlignment="1" applyProtection="1">
      <alignment horizontal="center" vertical="center" wrapText="1"/>
      <protection/>
    </xf>
    <xf numFmtId="49" fontId="7" fillId="0" borderId="10" xfId="64" applyNumberFormat="1" applyFont="1" applyFill="1" applyBorder="1" applyAlignment="1">
      <alignment vertical="center" wrapText="1"/>
      <protection/>
    </xf>
    <xf numFmtId="1" fontId="7" fillId="0" borderId="10" xfId="48" applyNumberFormat="1" applyFont="1" applyFill="1" applyBorder="1" applyAlignment="1" applyProtection="1" quotePrefix="1">
      <alignment horizontal="center" vertical="center" wrapText="1"/>
      <protection/>
    </xf>
    <xf numFmtId="1" fontId="4" fillId="0" borderId="10" xfId="48" applyNumberFormat="1" applyFont="1" applyFill="1" applyBorder="1" applyAlignment="1" applyProtection="1" quotePrefix="1">
      <alignment horizontal="center" vertical="center" wrapText="1"/>
      <protection/>
    </xf>
    <xf numFmtId="0" fontId="3" fillId="35" borderId="17" xfId="0" applyFont="1" applyFill="1" applyBorder="1" applyAlignment="1">
      <alignment horizontal="left" vertical="center"/>
    </xf>
    <xf numFmtId="49" fontId="3" fillId="35" borderId="17" xfId="0" applyNumberFormat="1" applyFont="1" applyFill="1" applyBorder="1" applyAlignment="1">
      <alignment horizontal="left" vertical="center"/>
    </xf>
    <xf numFmtId="0" fontId="3" fillId="35" borderId="17" xfId="0" applyFont="1" applyFill="1" applyBorder="1" applyAlignment="1">
      <alignment horizontal="center" vertical="center" wrapText="1"/>
    </xf>
    <xf numFmtId="0" fontId="3" fillId="35" borderId="10" xfId="0" applyFont="1" applyFill="1" applyBorder="1" applyAlignment="1">
      <alignment horizontal="left" vertical="center" wrapText="1"/>
    </xf>
    <xf numFmtId="0" fontId="3" fillId="35" borderId="17" xfId="0" applyFont="1" applyFill="1" applyBorder="1" applyAlignment="1">
      <alignment horizontal="center" vertical="center"/>
    </xf>
    <xf numFmtId="43" fontId="0" fillId="0" borderId="0" xfId="0" applyNumberFormat="1" applyAlignment="1">
      <alignment/>
    </xf>
    <xf numFmtId="43" fontId="4" fillId="0" borderId="0" xfId="64" applyNumberFormat="1" applyFont="1" applyFill="1" applyAlignment="1">
      <alignment horizontal="center" vertical="center"/>
      <protection/>
    </xf>
    <xf numFmtId="181" fontId="4" fillId="0" borderId="0" xfId="42" applyNumberFormat="1" applyFont="1" applyFill="1" applyAlignment="1">
      <alignment horizontal="center" vertical="center"/>
    </xf>
    <xf numFmtId="0" fontId="3" fillId="0" borderId="0" xfId="0" applyFont="1" applyAlignment="1">
      <alignment vertical="center"/>
    </xf>
    <xf numFmtId="209" fontId="2" fillId="0" borderId="0" xfId="0" applyNumberFormat="1" applyFont="1" applyAlignment="1">
      <alignment horizontal="center"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xf>
    <xf numFmtId="180" fontId="2" fillId="0" borderId="10" xfId="42" applyNumberFormat="1" applyFont="1" applyBorder="1" applyAlignment="1">
      <alignment horizontal="center" vertical="center"/>
    </xf>
    <xf numFmtId="181" fontId="2" fillId="0" borderId="0" xfId="0" applyNumberFormat="1" applyFont="1" applyAlignment="1">
      <alignment horizontal="center" vertical="center"/>
    </xf>
    <xf numFmtId="180" fontId="2" fillId="0" borderId="10" xfId="42" applyNumberFormat="1" applyFont="1" applyBorder="1" applyAlignment="1">
      <alignment vertical="center"/>
    </xf>
    <xf numFmtId="181" fontId="2" fillId="0" borderId="0" xfId="0" applyNumberFormat="1" applyFont="1" applyAlignment="1">
      <alignment vertical="center"/>
    </xf>
    <xf numFmtId="180" fontId="3" fillId="0" borderId="10" xfId="42" applyNumberFormat="1" applyFont="1" applyBorder="1" applyAlignment="1">
      <alignment vertical="center" wrapText="1"/>
    </xf>
    <xf numFmtId="181" fontId="3" fillId="0" borderId="0" xfId="0" applyNumberFormat="1" applyFont="1" applyAlignment="1">
      <alignment vertical="center"/>
    </xf>
    <xf numFmtId="180" fontId="3" fillId="0" borderId="10" xfId="42" applyNumberFormat="1" applyFont="1" applyBorder="1" applyAlignment="1">
      <alignment horizontal="center" vertical="center" wrapText="1"/>
    </xf>
    <xf numFmtId="180" fontId="2" fillId="0" borderId="10" xfId="42" applyNumberFormat="1" applyFont="1" applyBorder="1" applyAlignment="1">
      <alignment horizontal="center" vertical="center" wrapText="1"/>
    </xf>
    <xf numFmtId="43" fontId="0" fillId="0" borderId="0" xfId="42" applyFont="1" applyAlignment="1">
      <alignment/>
    </xf>
    <xf numFmtId="0" fontId="3" fillId="0" borderId="10" xfId="42" applyNumberFormat="1" applyFont="1" applyBorder="1" applyAlignment="1" quotePrefix="1">
      <alignment horizontal="center" vertical="center" wrapText="1"/>
    </xf>
    <xf numFmtId="0" fontId="3" fillId="0" borderId="10" xfId="42" applyNumberFormat="1" applyFont="1" applyBorder="1" applyAlignment="1">
      <alignment horizontal="center" vertical="center" wrapText="1"/>
    </xf>
    <xf numFmtId="0" fontId="3" fillId="0" borderId="10" xfId="42" applyNumberFormat="1" applyFont="1" applyBorder="1" applyAlignment="1">
      <alignment vertical="center" wrapText="1"/>
    </xf>
    <xf numFmtId="0" fontId="3" fillId="34" borderId="10" xfId="42" applyNumberFormat="1" applyFont="1" applyFill="1" applyBorder="1" applyAlignment="1">
      <alignment horizontal="center" vertical="center" wrapText="1"/>
    </xf>
    <xf numFmtId="209" fontId="2" fillId="0" borderId="10" xfId="42" applyNumberFormat="1" applyFont="1" applyFill="1" applyBorder="1" applyAlignment="1">
      <alignment horizontal="center" vertical="center" wrapText="1"/>
    </xf>
    <xf numFmtId="0" fontId="2" fillId="36" borderId="10" xfId="0" applyFont="1" applyFill="1" applyBorder="1" applyAlignment="1">
      <alignment horizontal="center" vertical="center" wrapText="1"/>
    </xf>
    <xf numFmtId="181" fontId="2" fillId="36" borderId="10" xfId="42" applyNumberFormat="1" applyFont="1" applyFill="1" applyBorder="1" applyAlignment="1">
      <alignment horizontal="center" vertical="center" wrapText="1"/>
    </xf>
    <xf numFmtId="0" fontId="3" fillId="0" borderId="0" xfId="0" applyFont="1" applyFill="1" applyAlignment="1">
      <alignment vertical="center"/>
    </xf>
    <xf numFmtId="0" fontId="3" fillId="0" borderId="0" xfId="0" applyFont="1" applyFill="1" applyAlignment="1">
      <alignment horizontal="right" vertical="center"/>
    </xf>
    <xf numFmtId="0" fontId="3" fillId="36" borderId="0" xfId="0" applyFont="1" applyFill="1" applyAlignment="1">
      <alignment horizontal="right" vertical="center"/>
    </xf>
    <xf numFmtId="181" fontId="3" fillId="36" borderId="0" xfId="42" applyNumberFormat="1" applyFont="1" applyFill="1" applyAlignment="1">
      <alignment horizontal="right" vertical="center"/>
    </xf>
    <xf numFmtId="209" fontId="3" fillId="0" borderId="0" xfId="42" applyNumberFormat="1" applyFont="1" applyFill="1" applyAlignment="1">
      <alignment horizontal="right" vertical="center"/>
    </xf>
    <xf numFmtId="209" fontId="3" fillId="0" borderId="0" xfId="0" applyNumberFormat="1" applyFont="1" applyAlignment="1">
      <alignment vertical="center"/>
    </xf>
    <xf numFmtId="181" fontId="3" fillId="0" borderId="0" xfId="42" applyNumberFormat="1" applyFont="1" applyAlignment="1">
      <alignment vertical="center"/>
    </xf>
    <xf numFmtId="3" fontId="2" fillId="0" borderId="10" xfId="42" applyNumberFormat="1" applyFont="1" applyFill="1" applyBorder="1" applyAlignment="1">
      <alignment horizontal="right" vertical="center" wrapText="1"/>
    </xf>
    <xf numFmtId="3" fontId="2" fillId="0" borderId="10" xfId="42" applyNumberFormat="1" applyFont="1" applyFill="1" applyBorder="1" applyAlignment="1">
      <alignment horizontal="right" vertical="center"/>
    </xf>
    <xf numFmtId="3" fontId="3" fillId="0" borderId="10" xfId="42" applyNumberFormat="1" applyFont="1" applyFill="1" applyBorder="1" applyAlignment="1">
      <alignment horizontal="right" vertical="center"/>
    </xf>
    <xf numFmtId="3" fontId="3" fillId="36" borderId="10" xfId="42" applyNumberFormat="1" applyFont="1" applyFill="1" applyBorder="1" applyAlignment="1">
      <alignment horizontal="right" vertical="center"/>
    </xf>
    <xf numFmtId="3" fontId="3" fillId="0" borderId="10" xfId="42" applyNumberFormat="1" applyFont="1" applyBorder="1" applyAlignment="1">
      <alignment horizontal="right" vertical="center"/>
    </xf>
    <xf numFmtId="3" fontId="3" fillId="0" borderId="10" xfId="47" applyNumberFormat="1" applyFont="1" applyFill="1" applyBorder="1" applyAlignment="1">
      <alignment horizontal="right" vertical="center"/>
    </xf>
    <xf numFmtId="3" fontId="3" fillId="36" borderId="10" xfId="0" applyNumberFormat="1" applyFont="1" applyFill="1" applyBorder="1" applyAlignment="1">
      <alignment horizontal="right" vertical="center" wrapText="1"/>
    </xf>
    <xf numFmtId="3" fontId="2" fillId="0" borderId="10" xfId="0" applyNumberFormat="1" applyFont="1" applyBorder="1" applyAlignment="1">
      <alignment horizontal="right" vertical="center"/>
    </xf>
    <xf numFmtId="3" fontId="2" fillId="36" borderId="10" xfId="42" applyNumberFormat="1" applyFont="1" applyFill="1" applyBorder="1" applyAlignment="1">
      <alignment horizontal="right" vertical="center"/>
    </xf>
    <xf numFmtId="3" fontId="3" fillId="0" borderId="10" xfId="42" applyNumberFormat="1" applyFont="1" applyFill="1" applyBorder="1" applyAlignment="1">
      <alignment horizontal="right" vertical="center" wrapText="1"/>
    </xf>
    <xf numFmtId="3" fontId="3" fillId="36" borderId="10" xfId="42" applyNumberFormat="1" applyFont="1" applyFill="1" applyBorder="1" applyAlignment="1">
      <alignment horizontal="right" vertical="center" wrapText="1"/>
    </xf>
    <xf numFmtId="3" fontId="2" fillId="0" borderId="10" xfId="42" applyNumberFormat="1" applyFont="1" applyBorder="1" applyAlignment="1">
      <alignment horizontal="right" vertical="center"/>
    </xf>
    <xf numFmtId="3" fontId="3" fillId="0" borderId="0" xfId="0" applyNumberFormat="1" applyFont="1" applyAlignment="1">
      <alignment horizontal="right" vertical="center"/>
    </xf>
    <xf numFmtId="3" fontId="3" fillId="0" borderId="10" xfId="0" applyNumberFormat="1" applyFont="1" applyBorder="1" applyAlignment="1">
      <alignment horizontal="right"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93" fillId="0" borderId="0" xfId="0" applyFont="1" applyAlignment="1">
      <alignment vertical="center"/>
    </xf>
    <xf numFmtId="0" fontId="92" fillId="0" borderId="0" xfId="0" applyFont="1" applyAlignment="1">
      <alignment horizontal="center" vertical="center"/>
    </xf>
    <xf numFmtId="181" fontId="92" fillId="0" borderId="0" xfId="0" applyNumberFormat="1" applyFont="1" applyAlignment="1">
      <alignment vertical="center"/>
    </xf>
    <xf numFmtId="0" fontId="92" fillId="0" borderId="0" xfId="0" applyFont="1" applyAlignment="1">
      <alignment vertical="center"/>
    </xf>
    <xf numFmtId="181" fontId="95" fillId="0" borderId="0" xfId="0" applyNumberFormat="1" applyFont="1" applyAlignment="1">
      <alignment vertical="center"/>
    </xf>
    <xf numFmtId="0" fontId="95" fillId="0" borderId="0" xfId="0" applyFont="1" applyAlignment="1">
      <alignment vertical="center"/>
    </xf>
    <xf numFmtId="181" fontId="97" fillId="0" borderId="0" xfId="0" applyNumberFormat="1" applyFont="1" applyAlignment="1">
      <alignment vertical="center"/>
    </xf>
    <xf numFmtId="0" fontId="97" fillId="0" borderId="0" xfId="0" applyFont="1" applyAlignment="1">
      <alignment vertical="center"/>
    </xf>
    <xf numFmtId="0" fontId="98" fillId="0" borderId="0" xfId="0" applyFont="1" applyAlignment="1">
      <alignment vertical="center"/>
    </xf>
    <xf numFmtId="0" fontId="97" fillId="0" borderId="0" xfId="0" applyFont="1" applyAlignment="1">
      <alignment horizontal="center" vertical="center"/>
    </xf>
    <xf numFmtId="0" fontId="92" fillId="0" borderId="10" xfId="0" applyFont="1" applyBorder="1" applyAlignment="1">
      <alignment horizontal="center" vertical="center"/>
    </xf>
    <xf numFmtId="0" fontId="92" fillId="0" borderId="10" xfId="0" applyFont="1" applyFill="1" applyBorder="1" applyAlignment="1">
      <alignment horizontal="center" vertical="center"/>
    </xf>
    <xf numFmtId="0" fontId="93" fillId="0" borderId="10" xfId="0" applyFont="1" applyFill="1" applyBorder="1" applyAlignment="1">
      <alignment horizontal="center" vertical="center"/>
    </xf>
    <xf numFmtId="3" fontId="92" fillId="0" borderId="10" xfId="0" applyNumberFormat="1" applyFont="1" applyFill="1" applyBorder="1" applyAlignment="1">
      <alignment horizontal="right" vertical="center"/>
    </xf>
    <xf numFmtId="180" fontId="92" fillId="0" borderId="10" xfId="42" applyNumberFormat="1" applyFont="1" applyBorder="1" applyAlignment="1">
      <alignment vertical="center"/>
    </xf>
    <xf numFmtId="0" fontId="93" fillId="0" borderId="10" xfId="0" applyFont="1" applyBorder="1" applyAlignment="1">
      <alignment horizontal="center" vertical="center"/>
    </xf>
    <xf numFmtId="3" fontId="93" fillId="0" borderId="10" xfId="0" applyNumberFormat="1" applyFont="1" applyFill="1" applyBorder="1" applyAlignment="1">
      <alignment horizontal="right" vertical="center"/>
    </xf>
    <xf numFmtId="3" fontId="93" fillId="36" borderId="10" xfId="0" applyNumberFormat="1" applyFont="1" applyFill="1" applyBorder="1" applyAlignment="1">
      <alignment horizontal="right" vertical="center"/>
    </xf>
    <xf numFmtId="3" fontId="93" fillId="36" borderId="10" xfId="42" applyNumberFormat="1" applyFont="1" applyFill="1" applyBorder="1" applyAlignment="1">
      <alignment horizontal="right" vertical="center"/>
    </xf>
    <xf numFmtId="3" fontId="93" fillId="0" borderId="10" xfId="42" applyNumberFormat="1" applyFont="1" applyFill="1" applyBorder="1" applyAlignment="1">
      <alignment horizontal="right" vertical="center"/>
    </xf>
    <xf numFmtId="3" fontId="93" fillId="0" borderId="10" xfId="42" applyNumberFormat="1" applyFont="1" applyBorder="1" applyAlignment="1">
      <alignment horizontal="right" vertical="center"/>
    </xf>
    <xf numFmtId="180" fontId="93" fillId="0" borderId="10" xfId="42" applyNumberFormat="1" applyFont="1" applyBorder="1" applyAlignment="1">
      <alignment vertical="center" wrapText="1"/>
    </xf>
    <xf numFmtId="0" fontId="93" fillId="0" borderId="10" xfId="0" applyFont="1" applyFill="1" applyBorder="1" applyAlignment="1">
      <alignment horizontal="center" vertical="center" wrapText="1"/>
    </xf>
    <xf numFmtId="3" fontId="92" fillId="0" borderId="10" xfId="42" applyNumberFormat="1" applyFont="1" applyFill="1" applyBorder="1" applyAlignment="1">
      <alignment horizontal="right" vertical="center"/>
    </xf>
    <xf numFmtId="0" fontId="93" fillId="0" borderId="10" xfId="0" applyFont="1" applyFill="1" applyBorder="1" applyAlignment="1">
      <alignment vertical="center" wrapText="1"/>
    </xf>
    <xf numFmtId="0" fontId="93" fillId="0" borderId="0" xfId="0" applyFont="1" applyAlignment="1">
      <alignment horizontal="center" vertical="center"/>
    </xf>
    <xf numFmtId="0" fontId="93" fillId="0" borderId="0" xfId="0" applyFont="1" applyFill="1" applyAlignment="1">
      <alignment vertical="center"/>
    </xf>
    <xf numFmtId="0" fontId="93" fillId="0" borderId="0" xfId="0" applyFont="1" applyFill="1" applyAlignment="1">
      <alignment horizontal="center" vertical="center"/>
    </xf>
    <xf numFmtId="0" fontId="93" fillId="0" borderId="0" xfId="0" applyFont="1" applyFill="1" applyAlignment="1">
      <alignment horizontal="right" vertical="center"/>
    </xf>
    <xf numFmtId="0" fontId="93" fillId="36" borderId="0" xfId="0" applyFont="1" applyFill="1" applyAlignment="1">
      <alignment horizontal="right" vertical="center"/>
    </xf>
    <xf numFmtId="181" fontId="93" fillId="36" borderId="0" xfId="42" applyNumberFormat="1" applyFont="1" applyFill="1" applyAlignment="1">
      <alignment horizontal="right" vertical="center"/>
    </xf>
    <xf numFmtId="209" fontId="93" fillId="0" borderId="0" xfId="42" applyNumberFormat="1" applyFont="1" applyFill="1" applyAlignment="1">
      <alignment horizontal="right" vertical="center"/>
    </xf>
    <xf numFmtId="181" fontId="93" fillId="0" borderId="0" xfId="42" applyNumberFormat="1" applyFont="1" applyAlignment="1">
      <alignment horizontal="right" vertical="center"/>
    </xf>
    <xf numFmtId="180" fontId="93" fillId="0" borderId="0" xfId="42" applyNumberFormat="1" applyFont="1" applyAlignment="1">
      <alignment vertical="center"/>
    </xf>
    <xf numFmtId="0" fontId="3" fillId="0" borderId="10" xfId="0" applyFont="1" applyFill="1" applyBorder="1" applyAlignment="1">
      <alignment horizontal="left" vertical="center" wrapText="1"/>
    </xf>
    <xf numFmtId="0" fontId="3" fillId="0" borderId="10" xfId="0" applyFont="1" applyFill="1" applyBorder="1" applyAlignment="1" quotePrefix="1">
      <alignment horizontal="left" vertical="center" wrapText="1"/>
    </xf>
    <xf numFmtId="3" fontId="3" fillId="0" borderId="10" xfId="42" applyNumberFormat="1" applyFont="1" applyFill="1" applyBorder="1" applyAlignment="1">
      <alignment horizontal="right" vertical="center"/>
    </xf>
    <xf numFmtId="0" fontId="3" fillId="0" borderId="10" xfId="0" applyFont="1" applyFill="1" applyBorder="1" applyAlignment="1">
      <alignment horizontal="center" vertical="center" wrapText="1"/>
    </xf>
    <xf numFmtId="3" fontId="3" fillId="0" borderId="10" xfId="42" applyNumberFormat="1" applyFont="1" applyFill="1" applyBorder="1" applyAlignment="1">
      <alignment horizontal="right" vertical="center" wrapText="1"/>
    </xf>
    <xf numFmtId="180" fontId="3" fillId="0" borderId="10" xfId="42" applyNumberFormat="1" applyFont="1" applyBorder="1" applyAlignment="1">
      <alignment horizontal="center" vertical="center" wrapText="1"/>
    </xf>
    <xf numFmtId="3" fontId="2" fillId="0" borderId="10" xfId="42" applyNumberFormat="1" applyFont="1" applyFill="1" applyBorder="1" applyAlignment="1">
      <alignment horizontal="right" vertical="center"/>
    </xf>
    <xf numFmtId="3" fontId="3" fillId="0" borderId="10" xfId="42" applyNumberFormat="1" applyFont="1" applyBorder="1" applyAlignment="1">
      <alignment horizontal="right" vertical="center"/>
    </xf>
    <xf numFmtId="180" fontId="3" fillId="0" borderId="18" xfId="42" applyNumberFormat="1" applyFont="1" applyBorder="1" applyAlignment="1">
      <alignment horizontal="center" vertical="center" wrapText="1"/>
    </xf>
    <xf numFmtId="180" fontId="3" fillId="0" borderId="24" xfId="42" applyNumberFormat="1" applyFont="1" applyBorder="1" applyAlignment="1">
      <alignment horizontal="center" vertical="center" wrapText="1"/>
    </xf>
    <xf numFmtId="0" fontId="2" fillId="0" borderId="0" xfId="0" applyFont="1" applyAlignment="1">
      <alignment horizontal="center" vertical="center"/>
    </xf>
    <xf numFmtId="0" fontId="42" fillId="0" borderId="0" xfId="0" applyFont="1" applyAlignment="1">
      <alignment horizontal="center"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181" fontId="3" fillId="36" borderId="10" xfId="42" applyNumberFormat="1" applyFont="1" applyFill="1" applyBorder="1" applyAlignment="1">
      <alignment horizontal="center" vertical="center"/>
    </xf>
    <xf numFmtId="181" fontId="2" fillId="36" borderId="10" xfId="42" applyNumberFormat="1" applyFont="1" applyFill="1" applyBorder="1" applyAlignment="1">
      <alignment horizontal="center" vertical="center" wrapText="1"/>
    </xf>
    <xf numFmtId="198" fontId="42" fillId="0" borderId="11" xfId="42" applyNumberFormat="1" applyFont="1" applyBorder="1" applyAlignment="1">
      <alignment horizontal="center" vertical="center"/>
    </xf>
    <xf numFmtId="0" fontId="2" fillId="0" borderId="10" xfId="0" applyFont="1" applyBorder="1" applyAlignment="1">
      <alignment horizontal="center" vertical="center"/>
    </xf>
    <xf numFmtId="0" fontId="3" fillId="0" borderId="10" xfId="0" applyFont="1" applyBorder="1" applyAlignment="1">
      <alignment horizontal="center" vertical="center"/>
    </xf>
    <xf numFmtId="209" fontId="2" fillId="0" borderId="10" xfId="42" applyNumberFormat="1" applyFont="1" applyFill="1" applyBorder="1" applyAlignment="1">
      <alignment horizontal="center" vertical="center" wrapText="1"/>
    </xf>
    <xf numFmtId="181" fontId="2" fillId="0" borderId="10" xfId="42" applyNumberFormat="1" applyFont="1" applyBorder="1" applyAlignment="1">
      <alignment horizontal="center" vertical="center" wrapText="1"/>
    </xf>
    <xf numFmtId="180" fontId="2" fillId="0" borderId="10" xfId="42" applyNumberFormat="1" applyFont="1" applyBorder="1" applyAlignment="1">
      <alignment horizontal="center" vertical="center" wrapText="1"/>
    </xf>
    <xf numFmtId="0" fontId="4" fillId="0" borderId="18" xfId="64" applyFont="1" applyFill="1" applyBorder="1" applyAlignment="1">
      <alignment horizontal="center" vertical="center" wrapText="1"/>
      <protection/>
    </xf>
    <xf numFmtId="0" fontId="4" fillId="0" borderId="15" xfId="64" applyFont="1" applyFill="1" applyBorder="1" applyAlignment="1">
      <alignment horizontal="center" vertical="center" wrapText="1"/>
      <protection/>
    </xf>
    <xf numFmtId="0" fontId="4" fillId="0" borderId="24" xfId="64" applyFont="1" applyFill="1" applyBorder="1" applyAlignment="1">
      <alignment horizontal="center" vertical="center" wrapText="1"/>
      <protection/>
    </xf>
    <xf numFmtId="181" fontId="92" fillId="0" borderId="10" xfId="42" applyNumberFormat="1" applyFont="1" applyBorder="1" applyAlignment="1">
      <alignment horizontal="center" vertical="center" wrapText="1"/>
    </xf>
    <xf numFmtId="171" fontId="92" fillId="34" borderId="18" xfId="42" applyNumberFormat="1" applyFont="1" applyFill="1" applyBorder="1" applyAlignment="1">
      <alignment horizontal="center" vertical="center" wrapText="1"/>
    </xf>
    <xf numFmtId="171" fontId="92" fillId="34" borderId="24" xfId="42" applyNumberFormat="1" applyFont="1" applyFill="1" applyBorder="1" applyAlignment="1">
      <alignment horizontal="center" vertical="center" wrapText="1"/>
    </xf>
    <xf numFmtId="171" fontId="92" fillId="0" borderId="24" xfId="42" applyNumberFormat="1" applyFont="1" applyBorder="1" applyAlignment="1">
      <alignment horizontal="center" vertical="center" wrapText="1"/>
    </xf>
    <xf numFmtId="171" fontId="92" fillId="0" borderId="10" xfId="42" applyNumberFormat="1" applyFont="1" applyBorder="1" applyAlignment="1">
      <alignment horizontal="center" vertical="center" wrapText="1"/>
    </xf>
    <xf numFmtId="171" fontId="92" fillId="0" borderId="12" xfId="42" applyNumberFormat="1" applyFont="1" applyBorder="1" applyAlignment="1">
      <alignment horizontal="center" vertical="center"/>
    </xf>
    <xf numFmtId="171" fontId="92" fillId="0" borderId="28" xfId="42" applyNumberFormat="1" applyFont="1" applyBorder="1" applyAlignment="1">
      <alignment horizontal="center" vertical="center"/>
    </xf>
    <xf numFmtId="181" fontId="21" fillId="7" borderId="18" xfId="42" applyNumberFormat="1" applyFont="1" applyFill="1" applyBorder="1" applyAlignment="1">
      <alignment horizontal="center" vertical="center" wrapText="1"/>
    </xf>
    <xf numFmtId="181" fontId="21" fillId="7" borderId="15" xfId="42" applyNumberFormat="1" applyFont="1" applyFill="1" applyBorder="1" applyAlignment="1">
      <alignment horizontal="center" vertical="center" wrapText="1"/>
    </xf>
    <xf numFmtId="181" fontId="21" fillId="7" borderId="24" xfId="42" applyNumberFormat="1" applyFont="1" applyFill="1" applyBorder="1" applyAlignment="1">
      <alignment horizontal="center" vertical="center" wrapText="1"/>
    </xf>
    <xf numFmtId="171" fontId="21" fillId="7" borderId="12" xfId="48" applyNumberFormat="1" applyFont="1" applyFill="1" applyBorder="1" applyAlignment="1">
      <alignment horizontal="center"/>
    </xf>
    <xf numFmtId="171" fontId="21" fillId="7" borderId="28" xfId="48" applyNumberFormat="1" applyFont="1" applyFill="1" applyBorder="1" applyAlignment="1">
      <alignment horizontal="center"/>
    </xf>
    <xf numFmtId="171" fontId="21" fillId="7" borderId="28" xfId="48" applyNumberFormat="1" applyFont="1" applyFill="1" applyBorder="1" applyAlignment="1">
      <alignment horizontal="right"/>
    </xf>
    <xf numFmtId="171" fontId="21" fillId="7" borderId="29" xfId="48" applyNumberFormat="1" applyFont="1" applyFill="1" applyBorder="1" applyAlignment="1">
      <alignment horizontal="center"/>
    </xf>
    <xf numFmtId="171" fontId="21" fillId="7" borderId="18" xfId="48" applyNumberFormat="1" applyFont="1" applyFill="1" applyBorder="1" applyAlignment="1">
      <alignment horizontal="center" vertical="center" wrapText="1"/>
    </xf>
    <xf numFmtId="171" fontId="21" fillId="7" borderId="24" xfId="48" applyNumberFormat="1" applyFont="1" applyFill="1" applyBorder="1" applyAlignment="1">
      <alignment horizontal="center" vertical="center" wrapText="1"/>
    </xf>
    <xf numFmtId="171" fontId="21" fillId="7" borderId="24" xfId="48" applyNumberFormat="1" applyFont="1" applyFill="1" applyBorder="1" applyAlignment="1">
      <alignment horizontal="right" vertical="center" wrapText="1"/>
    </xf>
    <xf numFmtId="171" fontId="21" fillId="7" borderId="10" xfId="48" applyNumberFormat="1" applyFont="1" applyFill="1" applyBorder="1" applyAlignment="1">
      <alignment horizontal="right" vertical="center" wrapText="1"/>
    </xf>
    <xf numFmtId="171" fontId="21" fillId="7" borderId="10" xfId="48" applyNumberFormat="1" applyFont="1" applyFill="1" applyBorder="1" applyAlignment="1">
      <alignment horizontal="center" vertical="center" wrapText="1"/>
    </xf>
    <xf numFmtId="181" fontId="21" fillId="7" borderId="24" xfId="48" applyNumberFormat="1" applyFont="1" applyFill="1" applyBorder="1" applyAlignment="1">
      <alignment horizontal="center" vertical="center"/>
    </xf>
    <xf numFmtId="181" fontId="21" fillId="7" borderId="24" xfId="48" applyNumberFormat="1" applyFont="1" applyFill="1" applyBorder="1" applyAlignment="1">
      <alignment horizontal="right" vertical="center"/>
    </xf>
    <xf numFmtId="183" fontId="21" fillId="7" borderId="18" xfId="48" applyNumberFormat="1" applyFont="1" applyFill="1" applyBorder="1" applyAlignment="1">
      <alignment horizontal="center" vertical="center" wrapText="1"/>
    </xf>
    <xf numFmtId="183" fontId="21" fillId="7" borderId="15" xfId="48" applyNumberFormat="1" applyFont="1" applyFill="1" applyBorder="1" applyAlignment="1">
      <alignment horizontal="center" vertical="center" wrapText="1"/>
    </xf>
    <xf numFmtId="183" fontId="21" fillId="7" borderId="24" xfId="48" applyNumberFormat="1" applyFont="1" applyFill="1" applyBorder="1" applyAlignment="1">
      <alignment horizontal="center" vertical="center" wrapText="1"/>
    </xf>
    <xf numFmtId="171" fontId="92" fillId="0" borderId="18" xfId="42" applyNumberFormat="1" applyFont="1" applyBorder="1" applyAlignment="1">
      <alignment horizontal="center" vertical="center" wrapText="1"/>
    </xf>
    <xf numFmtId="171" fontId="92" fillId="0" borderId="15" xfId="42" applyNumberFormat="1" applyFont="1" applyBorder="1" applyAlignment="1">
      <alignment horizontal="center" vertical="center" wrapText="1"/>
    </xf>
    <xf numFmtId="171" fontId="92" fillId="0" borderId="12" xfId="42" applyNumberFormat="1" applyFont="1" applyBorder="1" applyAlignment="1">
      <alignment horizontal="center" vertical="center" wrapText="1"/>
    </xf>
    <xf numFmtId="171" fontId="92" fillId="0" borderId="10" xfId="42" applyNumberFormat="1" applyFont="1" applyBorder="1" applyAlignment="1">
      <alignment horizontal="center"/>
    </xf>
    <xf numFmtId="171" fontId="92" fillId="0" borderId="12" xfId="42" applyNumberFormat="1" applyFont="1" applyBorder="1" applyAlignment="1">
      <alignment horizontal="center"/>
    </xf>
    <xf numFmtId="0" fontId="7" fillId="0" borderId="0" xfId="64" applyFont="1" applyFill="1" applyAlignment="1">
      <alignment horizontal="center"/>
      <protection/>
    </xf>
    <xf numFmtId="171" fontId="7" fillId="0" borderId="0" xfId="64" applyNumberFormat="1" applyFont="1" applyFill="1" applyAlignment="1">
      <alignment horizontal="right"/>
      <protection/>
    </xf>
    <xf numFmtId="0" fontId="11" fillId="0" borderId="0" xfId="64" applyFont="1" applyFill="1" applyAlignment="1">
      <alignment horizontal="center"/>
      <protection/>
    </xf>
    <xf numFmtId="171" fontId="11" fillId="0" borderId="0" xfId="64" applyNumberFormat="1" applyFont="1" applyFill="1" applyAlignment="1">
      <alignment horizontal="right"/>
      <protection/>
    </xf>
    <xf numFmtId="0" fontId="21" fillId="0" borderId="18" xfId="64" applyFont="1" applyFill="1" applyBorder="1" applyAlignment="1">
      <alignment horizontal="center" vertical="center"/>
      <protection/>
    </xf>
    <xf numFmtId="0" fontId="21" fillId="0" borderId="15" xfId="64" applyFont="1" applyFill="1" applyBorder="1" applyAlignment="1">
      <alignment horizontal="center" vertical="center"/>
      <protection/>
    </xf>
    <xf numFmtId="0" fontId="21" fillId="0" borderId="24" xfId="64" applyFont="1" applyFill="1" applyBorder="1" applyAlignment="1">
      <alignment horizontal="center" vertical="center"/>
      <protection/>
    </xf>
    <xf numFmtId="0" fontId="83" fillId="34" borderId="17" xfId="0" applyFont="1" applyFill="1" applyBorder="1" applyAlignment="1">
      <alignment horizontal="center" vertical="center"/>
    </xf>
    <xf numFmtId="0" fontId="83" fillId="34" borderId="15" xfId="0" applyFont="1" applyFill="1" applyBorder="1" applyAlignment="1">
      <alignment horizontal="center" vertical="center"/>
    </xf>
    <xf numFmtId="0" fontId="83" fillId="34" borderId="25" xfId="0" applyFont="1" applyFill="1" applyBorder="1" applyAlignment="1">
      <alignment horizontal="center" vertical="center"/>
    </xf>
    <xf numFmtId="0" fontId="83" fillId="34" borderId="18" xfId="0" applyFont="1" applyFill="1" applyBorder="1" applyAlignment="1">
      <alignment horizontal="left" vertical="center" wrapText="1"/>
    </xf>
    <xf numFmtId="0" fontId="83" fillId="34" borderId="15" xfId="0" applyFont="1" applyFill="1" applyBorder="1" applyAlignment="1">
      <alignment horizontal="left" vertical="center" wrapText="1"/>
    </xf>
    <xf numFmtId="0" fontId="83" fillId="34" borderId="25" xfId="0" applyFont="1" applyFill="1" applyBorder="1" applyAlignment="1">
      <alignment horizontal="left" vertical="center" wrapText="1"/>
    </xf>
    <xf numFmtId="0" fontId="83" fillId="34" borderId="17" xfId="0" applyFont="1" applyFill="1" applyBorder="1" applyAlignment="1">
      <alignment horizontal="left" vertical="center" wrapText="1"/>
    </xf>
    <xf numFmtId="0" fontId="96" fillId="0" borderId="18" xfId="0" applyFont="1" applyBorder="1" applyAlignment="1">
      <alignment horizontal="left" vertical="center" wrapText="1"/>
    </xf>
    <xf numFmtId="0" fontId="96" fillId="0" borderId="25" xfId="0" applyFont="1" applyBorder="1" applyAlignment="1">
      <alignment horizontal="left" vertical="center" wrapText="1"/>
    </xf>
    <xf numFmtId="183" fontId="83" fillId="0" borderId="21" xfId="0" applyNumberFormat="1" applyFont="1" applyBorder="1" applyAlignment="1">
      <alignment horizontal="center" vertical="center"/>
    </xf>
    <xf numFmtId="183" fontId="83" fillId="0" borderId="0" xfId="0" applyNumberFormat="1" applyFont="1" applyAlignment="1">
      <alignment horizontal="center" vertical="center"/>
    </xf>
    <xf numFmtId="183" fontId="83" fillId="0" borderId="21" xfId="0" applyNumberFormat="1" applyFont="1" applyBorder="1" applyAlignment="1">
      <alignment horizontal="center"/>
    </xf>
    <xf numFmtId="183" fontId="83" fillId="0" borderId="0" xfId="0" applyNumberFormat="1" applyFont="1" applyAlignment="1">
      <alignment horizontal="center"/>
    </xf>
    <xf numFmtId="171" fontId="82" fillId="0" borderId="10" xfId="42" applyNumberFormat="1" applyFont="1" applyBorder="1" applyAlignment="1">
      <alignment horizontal="center" vertical="center" wrapText="1"/>
    </xf>
    <xf numFmtId="0" fontId="82" fillId="0" borderId="0" xfId="0" applyFont="1" applyAlignment="1">
      <alignment horizontal="center"/>
    </xf>
    <xf numFmtId="0" fontId="86" fillId="0" borderId="0" xfId="0" applyFont="1" applyAlignment="1">
      <alignment horizontal="center"/>
    </xf>
    <xf numFmtId="0" fontId="82" fillId="0" borderId="18" xfId="0" applyFont="1" applyBorder="1" applyAlignment="1">
      <alignment horizontal="center" vertical="center"/>
    </xf>
    <xf numFmtId="0" fontId="82" fillId="0" borderId="15" xfId="0" applyFont="1" applyBorder="1" applyAlignment="1">
      <alignment horizontal="center" vertical="center"/>
    </xf>
    <xf numFmtId="0" fontId="82" fillId="0" borderId="24" xfId="0" applyFont="1" applyBorder="1" applyAlignment="1">
      <alignment horizontal="center" vertical="center"/>
    </xf>
    <xf numFmtId="171" fontId="82" fillId="0" borderId="18" xfId="42" applyNumberFormat="1" applyFont="1" applyBorder="1" applyAlignment="1">
      <alignment horizontal="center" vertical="center" wrapText="1"/>
    </xf>
    <xf numFmtId="171" fontId="82" fillId="0" borderId="15" xfId="42" applyNumberFormat="1" applyFont="1" applyBorder="1" applyAlignment="1">
      <alignment horizontal="center" vertical="center" wrapText="1"/>
    </xf>
    <xf numFmtId="171" fontId="82" fillId="0" borderId="24" xfId="42" applyNumberFormat="1" applyFont="1" applyBorder="1" applyAlignment="1">
      <alignment horizontal="center" vertical="center" wrapText="1"/>
    </xf>
    <xf numFmtId="171" fontId="82" fillId="0" borderId="10" xfId="42" applyNumberFormat="1" applyFont="1" applyBorder="1" applyAlignment="1">
      <alignment horizontal="center"/>
    </xf>
    <xf numFmtId="181" fontId="82" fillId="0" borderId="18" xfId="42" applyNumberFormat="1" applyFont="1" applyBorder="1" applyAlignment="1">
      <alignment horizontal="center" vertical="center" wrapText="1"/>
    </xf>
    <xf numFmtId="181" fontId="82" fillId="0" borderId="15" xfId="42" applyNumberFormat="1" applyFont="1" applyBorder="1" applyAlignment="1">
      <alignment horizontal="center" vertical="center" wrapText="1"/>
    </xf>
    <xf numFmtId="181" fontId="82" fillId="0" borderId="24" xfId="42" applyNumberFormat="1" applyFont="1" applyBorder="1" applyAlignment="1">
      <alignment horizontal="center" vertical="center" wrapText="1"/>
    </xf>
    <xf numFmtId="0" fontId="82" fillId="0" borderId="10" xfId="0" applyFont="1" applyBorder="1" applyAlignment="1">
      <alignment horizontal="center" vertical="center" wrapText="1"/>
    </xf>
    <xf numFmtId="171" fontId="82" fillId="34" borderId="18" xfId="42" applyNumberFormat="1" applyFont="1" applyFill="1" applyBorder="1" applyAlignment="1">
      <alignment horizontal="center" vertical="center" wrapText="1"/>
    </xf>
    <xf numFmtId="171" fontId="82" fillId="34" borderId="24" xfId="42" applyNumberFormat="1" applyFont="1" applyFill="1" applyBorder="1" applyAlignment="1">
      <alignment horizontal="center" vertical="center" wrapText="1"/>
    </xf>
    <xf numFmtId="171" fontId="82" fillId="0" borderId="12" xfId="42" applyNumberFormat="1" applyFont="1" applyBorder="1" applyAlignment="1">
      <alignment horizontal="center" vertical="center"/>
    </xf>
    <xf numFmtId="171" fontId="82" fillId="0" borderId="28" xfId="42" applyNumberFormat="1" applyFont="1" applyBorder="1" applyAlignment="1">
      <alignment horizontal="center" vertical="center"/>
    </xf>
    <xf numFmtId="0" fontId="7" fillId="0" borderId="18" xfId="64" applyFont="1" applyFill="1" applyBorder="1" applyAlignment="1">
      <alignment horizontal="center" vertical="center"/>
      <protection/>
    </xf>
    <xf numFmtId="0" fontId="7" fillId="0" borderId="15" xfId="64" applyFont="1" applyFill="1" applyBorder="1" applyAlignment="1">
      <alignment horizontal="center" vertical="center"/>
      <protection/>
    </xf>
    <xf numFmtId="0" fontId="7" fillId="0" borderId="24" xfId="64" applyFont="1" applyFill="1" applyBorder="1" applyAlignment="1">
      <alignment horizontal="center" vertical="center"/>
      <protection/>
    </xf>
    <xf numFmtId="171" fontId="7" fillId="0" borderId="18" xfId="48" applyNumberFormat="1" applyFont="1" applyFill="1" applyBorder="1" applyAlignment="1">
      <alignment horizontal="center" vertical="center" wrapText="1"/>
    </xf>
    <xf numFmtId="171" fontId="7" fillId="0" borderId="15" xfId="48" applyNumberFormat="1" applyFont="1" applyFill="1" applyBorder="1" applyAlignment="1">
      <alignment horizontal="center" vertical="center" wrapText="1"/>
    </xf>
    <xf numFmtId="171" fontId="7" fillId="0" borderId="24" xfId="48" applyNumberFormat="1" applyFont="1" applyFill="1" applyBorder="1" applyAlignment="1">
      <alignment horizontal="center" vertical="center" wrapText="1"/>
    </xf>
    <xf numFmtId="171" fontId="7" fillId="0" borderId="12" xfId="48" applyNumberFormat="1" applyFont="1" applyFill="1" applyBorder="1" applyAlignment="1">
      <alignment horizontal="center"/>
    </xf>
    <xf numFmtId="171" fontId="7" fillId="0" borderId="28" xfId="48" applyNumberFormat="1" applyFont="1" applyFill="1" applyBorder="1" applyAlignment="1">
      <alignment horizontal="center"/>
    </xf>
    <xf numFmtId="171" fontId="7" fillId="0" borderId="28" xfId="48" applyNumberFormat="1" applyFont="1" applyFill="1" applyBorder="1" applyAlignment="1">
      <alignment horizontal="right"/>
    </xf>
    <xf numFmtId="171" fontId="7" fillId="0" borderId="29" xfId="48" applyNumberFormat="1" applyFont="1" applyFill="1" applyBorder="1" applyAlignment="1">
      <alignment horizontal="center"/>
    </xf>
    <xf numFmtId="183" fontId="7" fillId="0" borderId="18" xfId="48" applyNumberFormat="1" applyFont="1" applyFill="1" applyBorder="1" applyAlignment="1">
      <alignment horizontal="center" vertical="center" wrapText="1"/>
    </xf>
    <xf numFmtId="183" fontId="7" fillId="0" borderId="15" xfId="48" applyNumberFormat="1" applyFont="1" applyFill="1" applyBorder="1" applyAlignment="1">
      <alignment horizontal="center" vertical="center" wrapText="1"/>
    </xf>
    <xf numFmtId="183" fontId="7" fillId="0" borderId="24" xfId="48" applyNumberFormat="1" applyFont="1" applyFill="1" applyBorder="1" applyAlignment="1">
      <alignment horizontal="center" vertical="center" wrapText="1"/>
    </xf>
    <xf numFmtId="183" fontId="7" fillId="0" borderId="10" xfId="64" applyNumberFormat="1" applyFont="1" applyFill="1" applyBorder="1" applyAlignment="1">
      <alignment horizontal="center" vertical="center" wrapText="1"/>
      <protection/>
    </xf>
    <xf numFmtId="171" fontId="7" fillId="0" borderId="24" xfId="48" applyNumberFormat="1" applyFont="1" applyFill="1" applyBorder="1" applyAlignment="1">
      <alignment horizontal="right" vertical="center" wrapText="1"/>
    </xf>
    <xf numFmtId="171" fontId="7" fillId="0" borderId="10" xfId="48" applyNumberFormat="1" applyFont="1" applyFill="1" applyBorder="1" applyAlignment="1">
      <alignment horizontal="right" vertical="center" wrapText="1"/>
    </xf>
    <xf numFmtId="171" fontId="7" fillId="0" borderId="10" xfId="48" applyNumberFormat="1" applyFont="1" applyFill="1" applyBorder="1" applyAlignment="1">
      <alignment horizontal="center" vertical="center" wrapText="1"/>
    </xf>
    <xf numFmtId="181" fontId="7" fillId="0" borderId="24" xfId="48" applyNumberFormat="1" applyFont="1" applyFill="1" applyBorder="1" applyAlignment="1">
      <alignment horizontal="center" vertical="center"/>
    </xf>
    <xf numFmtId="181" fontId="7" fillId="0" borderId="24" xfId="48" applyNumberFormat="1" applyFont="1" applyFill="1" applyBorder="1" applyAlignment="1">
      <alignment horizontal="right" vertical="center"/>
    </xf>
    <xf numFmtId="0" fontId="4" fillId="0" borderId="21" xfId="64" applyFont="1" applyFill="1" applyBorder="1" applyAlignment="1">
      <alignment horizontal="center" vertical="center"/>
      <protection/>
    </xf>
    <xf numFmtId="0" fontId="6" fillId="0" borderId="21" xfId="64" applyFont="1" applyFill="1" applyBorder="1" applyAlignment="1">
      <alignment horizontal="center" vertical="center"/>
      <protection/>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omma 2 5" xfId="45"/>
    <cellStyle name="Comma 2 6 3" xfId="46"/>
    <cellStyle name="Comma 2 7" xfId="47"/>
    <cellStyle name="Comma 40" xfId="48"/>
    <cellStyle name="Comma_Sheet1" xfId="49"/>
    <cellStyle name="Comma_trich nop KPCĐ "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19" xfId="64"/>
    <cellStyle name="Normal 2 2 3" xfId="65"/>
    <cellStyle name="Normal 6" xfId="66"/>
    <cellStyle name="Normal_Sheet1" xfId="67"/>
    <cellStyle name="Normal_Sheet1_Luong T1-2016-TN" xfId="68"/>
    <cellStyle name="Normal_Sheet1_Luong T12-2015" xfId="69"/>
    <cellStyle name="Normal_Sheet1_Luong T6-2015" xfId="70"/>
    <cellStyle name="Note" xfId="71"/>
    <cellStyle name="Output" xfId="72"/>
    <cellStyle name="Percent"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ell\Downloads\18.12%20bi&#7875;u%20k&#232;m%20Q&#272;%20UB%20%20DT%20C&#272;%202021%20(1)%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folder\1912%20K&#232;m%20theo%20Q&#272;%20D&#7921;%20to&#225;n%20C&#272;%202022%20(19.12.2021)%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0"/>
      <sheetName val="31"/>
      <sheetName val="32"/>
      <sheetName val="33"/>
      <sheetName val="34"/>
      <sheetName val="35"/>
      <sheetName val="36"/>
      <sheetName val="37"/>
      <sheetName val="39"/>
      <sheetName val="41"/>
      <sheetName val="42"/>
      <sheetName val="46TAM"/>
      <sheetName val="44"/>
      <sheetName val="47"/>
      <sheetName val="03"/>
      <sheetName val="04"/>
      <sheetName val="TH xã"/>
      <sheetName val="PB chi tiet cap huyenchi tiet 6"/>
      <sheetName val="sheeet2"/>
      <sheetName val="sheeet1"/>
      <sheetName val="sheeet TM"/>
      <sheetName val="sheeet138"/>
      <sheetName val="sheeet146TAM"/>
      <sheetName val="SHEET"/>
      <sheetName val="sheet 1"/>
      <sheetName val="sheet2"/>
      <sheetName val="gd"/>
    </sheetNames>
    <sheetDataSet>
      <sheetData sheetId="25">
        <row r="266">
          <cell r="Y266">
            <v>1114465000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15."/>
      <sheetName val="PL16."/>
      <sheetName val="PL17."/>
      <sheetName val="30"/>
      <sheetName val="31"/>
      <sheetName val="32"/>
      <sheetName val="33"/>
      <sheetName val="34"/>
      <sheetName val="35"/>
      <sheetName val="36"/>
      <sheetName val="37"/>
      <sheetName val="38"/>
      <sheetName val="39"/>
      <sheetName val="41"/>
      <sheetName val="42"/>
      <sheetName val="44"/>
      <sheetName val="45"/>
      <sheetName val="46"/>
      <sheetName val="47"/>
      <sheetName val="03"/>
      <sheetName val="04"/>
      <sheetName val="TH xã"/>
      <sheetName val="chi tietxã 05"/>
      <sheetName val="PB chi tiet cap huyenchi tiet 6"/>
      <sheetName val="Sheet4"/>
      <sheetName val="Sheet3"/>
      <sheetName val="Sheet2"/>
      <sheetName val="Sheet1"/>
      <sheetName val="sheeet2"/>
      <sheetName val="sheeet1"/>
      <sheetName val="XÃ"/>
      <sheetName val="luong cap huyen"/>
      <sheetName val="Sheet5"/>
      <sheetName val="Sheet6"/>
      <sheetName val="Sheet7"/>
      <sheetName val="Sheet8"/>
    </sheetNames>
    <sheetDataSet>
      <sheetData sheetId="22">
        <row r="13">
          <cell r="D13">
            <v>9061501</v>
          </cell>
        </row>
        <row r="14">
          <cell r="D14">
            <v>5709719</v>
          </cell>
        </row>
        <row r="15">
          <cell r="D15">
            <v>219960</v>
          </cell>
        </row>
        <row r="17">
          <cell r="D17">
            <v>857520</v>
          </cell>
        </row>
        <row r="18">
          <cell r="D18">
            <v>1881694</v>
          </cell>
        </row>
      </sheetData>
      <sheetData sheetId="30">
        <row r="343">
          <cell r="Z343">
            <v>8970401000</v>
          </cell>
          <cell r="AA343">
            <v>1685712939.5973153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Q56"/>
  <sheetViews>
    <sheetView showGridLines="0" tabSelected="1" zoomScalePageLayoutView="0" workbookViewId="0" topLeftCell="A1">
      <pane ySplit="5" topLeftCell="A48" activePane="bottomLeft" state="frozen"/>
      <selection pane="topLeft" activeCell="A1" sqref="A1"/>
      <selection pane="bottomLeft" activeCell="P55" sqref="P55"/>
    </sheetView>
  </sheetViews>
  <sheetFormatPr defaultColWidth="9.140625" defaultRowHeight="15"/>
  <cols>
    <col min="1" max="1" width="5.00390625" style="745" bestFit="1" customWidth="1"/>
    <col min="2" max="2" width="74.421875" style="746" customWidth="1"/>
    <col min="3" max="3" width="25.8515625" style="747" customWidth="1"/>
    <col min="4" max="4" width="17.8515625" style="748" customWidth="1"/>
    <col min="5" max="5" width="17.8515625" style="749" hidden="1" customWidth="1"/>
    <col min="6" max="6" width="16.421875" style="750" hidden="1" customWidth="1"/>
    <col min="7" max="7" width="18.140625" style="750" hidden="1" customWidth="1"/>
    <col min="8" max="8" width="17.7109375" style="750" hidden="1" customWidth="1"/>
    <col min="9" max="9" width="17.140625" style="750" hidden="1" customWidth="1"/>
    <col min="10" max="10" width="16.7109375" style="750" hidden="1" customWidth="1"/>
    <col min="11" max="11" width="17.28125" style="750" hidden="1" customWidth="1"/>
    <col min="12" max="12" width="15.140625" style="751" customWidth="1"/>
    <col min="13" max="13" width="16.57421875" style="751" customWidth="1"/>
    <col min="14" max="14" width="18.7109375" style="752" customWidth="1"/>
    <col min="15" max="15" width="16.7109375" style="753" customWidth="1"/>
    <col min="16" max="16" width="15.140625" style="720" customWidth="1"/>
    <col min="17" max="17" width="15.8515625" style="720" bestFit="1" customWidth="1"/>
    <col min="18" max="16384" width="9.140625" style="720" customWidth="1"/>
  </cols>
  <sheetData>
    <row r="1" spans="1:16" ht="15.75">
      <c r="A1" s="764" t="s">
        <v>333</v>
      </c>
      <c r="B1" s="764"/>
      <c r="C1" s="764"/>
      <c r="D1" s="764"/>
      <c r="E1" s="764"/>
      <c r="F1" s="764"/>
      <c r="G1" s="764"/>
      <c r="H1" s="764"/>
      <c r="I1" s="764"/>
      <c r="J1" s="764"/>
      <c r="K1" s="764"/>
      <c r="L1" s="764"/>
      <c r="M1" s="764"/>
      <c r="N1" s="764"/>
      <c r="O1" s="764"/>
      <c r="P1" s="677"/>
    </row>
    <row r="2" spans="1:16" ht="17.25" customHeight="1">
      <c r="A2" s="765" t="s">
        <v>592</v>
      </c>
      <c r="B2" s="765"/>
      <c r="C2" s="765"/>
      <c r="D2" s="765"/>
      <c r="E2" s="765"/>
      <c r="F2" s="765"/>
      <c r="G2" s="765"/>
      <c r="H2" s="765"/>
      <c r="I2" s="765"/>
      <c r="J2" s="765"/>
      <c r="K2" s="765"/>
      <c r="L2" s="765"/>
      <c r="M2" s="765"/>
      <c r="N2" s="765"/>
      <c r="O2" s="765"/>
      <c r="P2" s="677"/>
    </row>
    <row r="3" spans="1:16" ht="15.75">
      <c r="A3" s="718"/>
      <c r="B3" s="697"/>
      <c r="C3" s="719"/>
      <c r="D3" s="698"/>
      <c r="E3" s="699"/>
      <c r="F3" s="700"/>
      <c r="G3" s="700"/>
      <c r="H3" s="700"/>
      <c r="I3" s="700"/>
      <c r="J3" s="700"/>
      <c r="K3" s="700"/>
      <c r="L3" s="701"/>
      <c r="M3" s="701"/>
      <c r="N3" s="771" t="s">
        <v>334</v>
      </c>
      <c r="O3" s="771"/>
      <c r="P3" s="702"/>
    </row>
    <row r="4" spans="1:16" ht="15.75">
      <c r="A4" s="766" t="s">
        <v>0</v>
      </c>
      <c r="B4" s="767" t="s">
        <v>1</v>
      </c>
      <c r="C4" s="767" t="s">
        <v>332</v>
      </c>
      <c r="D4" s="768" t="s">
        <v>329</v>
      </c>
      <c r="E4" s="769" t="s">
        <v>12</v>
      </c>
      <c r="F4" s="769"/>
      <c r="G4" s="769"/>
      <c r="H4" s="770" t="s">
        <v>314</v>
      </c>
      <c r="I4" s="770" t="s">
        <v>5</v>
      </c>
      <c r="J4" s="770" t="s">
        <v>315</v>
      </c>
      <c r="K4" s="770" t="s">
        <v>11</v>
      </c>
      <c r="L4" s="774" t="s">
        <v>13</v>
      </c>
      <c r="M4" s="774"/>
      <c r="N4" s="775" t="s">
        <v>312</v>
      </c>
      <c r="O4" s="776" t="s">
        <v>3</v>
      </c>
      <c r="P4" s="677"/>
    </row>
    <row r="5" spans="1:16" s="721" customFormat="1" ht="63">
      <c r="A5" s="766"/>
      <c r="B5" s="767"/>
      <c r="C5" s="767"/>
      <c r="D5" s="768"/>
      <c r="E5" s="695" t="s">
        <v>313</v>
      </c>
      <c r="F5" s="696" t="s">
        <v>2</v>
      </c>
      <c r="G5" s="696" t="s">
        <v>327</v>
      </c>
      <c r="H5" s="770"/>
      <c r="I5" s="770"/>
      <c r="J5" s="770"/>
      <c r="K5" s="770"/>
      <c r="L5" s="694" t="s">
        <v>14</v>
      </c>
      <c r="M5" s="694" t="s">
        <v>15</v>
      </c>
      <c r="N5" s="775"/>
      <c r="O5" s="776"/>
      <c r="P5" s="678"/>
    </row>
    <row r="6" spans="1:16" s="721" customFormat="1" ht="15.75">
      <c r="A6" s="679"/>
      <c r="B6" s="680" t="s">
        <v>16</v>
      </c>
      <c r="C6" s="680"/>
      <c r="D6" s="704">
        <f>D7+D11+D13+D17+D24+D26+D32+D36+D38+D42+D46+D53+D55</f>
        <v>9745384000</v>
      </c>
      <c r="E6" s="704">
        <f aca="true" t="shared" si="0" ref="E6:N6">E7+E11+E13+E17+E24+E26+E32+E36+E38+E42+E46+E53+E55</f>
        <v>0</v>
      </c>
      <c r="F6" s="704">
        <f t="shared" si="0"/>
        <v>2292388000</v>
      </c>
      <c r="G6" s="704">
        <f t="shared" si="0"/>
        <v>45000000</v>
      </c>
      <c r="H6" s="704">
        <f t="shared" si="0"/>
        <v>431021744</v>
      </c>
      <c r="I6" s="704">
        <f t="shared" si="0"/>
        <v>2742063256</v>
      </c>
      <c r="J6" s="704">
        <f t="shared" si="0"/>
        <v>2675662492</v>
      </c>
      <c r="K6" s="704">
        <f t="shared" si="0"/>
        <v>-541078016</v>
      </c>
      <c r="L6" s="704">
        <f t="shared" si="0"/>
        <v>748836883</v>
      </c>
      <c r="M6" s="704">
        <f t="shared" si="0"/>
        <v>-748836883</v>
      </c>
      <c r="N6" s="704">
        <f t="shared" si="0"/>
        <v>9745384000</v>
      </c>
      <c r="O6" s="681"/>
      <c r="P6" s="682"/>
    </row>
    <row r="7" spans="1:17" s="723" customFormat="1" ht="31.5">
      <c r="A7" s="477">
        <v>1</v>
      </c>
      <c r="B7" s="478" t="s">
        <v>585</v>
      </c>
      <c r="C7" s="479" t="s">
        <v>320</v>
      </c>
      <c r="D7" s="705">
        <f>SUM(D8:D10)</f>
        <v>272800000</v>
      </c>
      <c r="E7" s="705">
        <f aca="true" t="shared" si="1" ref="E7:K7">SUM(E8:E10)</f>
        <v>0</v>
      </c>
      <c r="F7" s="705">
        <f t="shared" si="1"/>
        <v>243000000</v>
      </c>
      <c r="G7" s="705">
        <f t="shared" si="1"/>
        <v>0</v>
      </c>
      <c r="H7" s="705">
        <f t="shared" si="1"/>
        <v>69783000</v>
      </c>
      <c r="I7" s="705">
        <f t="shared" si="1"/>
        <v>173217000</v>
      </c>
      <c r="J7" s="705">
        <f t="shared" si="1"/>
        <v>243000000</v>
      </c>
      <c r="K7" s="705">
        <f t="shared" si="1"/>
        <v>0</v>
      </c>
      <c r="L7" s="705">
        <f>SUM(L8:L10)</f>
        <v>53117000</v>
      </c>
      <c r="M7" s="705">
        <f>SUM(M8:M10)</f>
        <v>-38217000</v>
      </c>
      <c r="N7" s="705">
        <f>SUM(N8:N10)</f>
        <v>287700000</v>
      </c>
      <c r="O7" s="683"/>
      <c r="P7" s="684"/>
      <c r="Q7" s="722"/>
    </row>
    <row r="8" spans="1:17" s="725" customFormat="1" ht="15.75">
      <c r="A8" s="480" t="s">
        <v>335</v>
      </c>
      <c r="B8" s="482" t="s">
        <v>325</v>
      </c>
      <c r="C8" s="479"/>
      <c r="D8" s="706">
        <v>29800000</v>
      </c>
      <c r="E8" s="707"/>
      <c r="F8" s="707"/>
      <c r="G8" s="707"/>
      <c r="H8" s="707"/>
      <c r="I8" s="707"/>
      <c r="J8" s="707"/>
      <c r="K8" s="707"/>
      <c r="L8" s="706">
        <v>14900000</v>
      </c>
      <c r="M8" s="706"/>
      <c r="N8" s="708">
        <f>D8+L8+M8</f>
        <v>44700000</v>
      </c>
      <c r="O8" s="692"/>
      <c r="P8" s="686"/>
      <c r="Q8" s="724"/>
    </row>
    <row r="9" spans="1:16" ht="15.75">
      <c r="A9" s="480" t="s">
        <v>335</v>
      </c>
      <c r="B9" s="482" t="s">
        <v>316</v>
      </c>
      <c r="C9" s="479"/>
      <c r="D9" s="706">
        <v>108000000</v>
      </c>
      <c r="E9" s="707"/>
      <c r="F9" s="707">
        <v>108000000</v>
      </c>
      <c r="G9" s="707"/>
      <c r="H9" s="707">
        <v>69783000</v>
      </c>
      <c r="I9" s="707">
        <v>38217000</v>
      </c>
      <c r="J9" s="707">
        <v>69783000</v>
      </c>
      <c r="K9" s="707">
        <v>-38217000</v>
      </c>
      <c r="L9" s="706"/>
      <c r="M9" s="706">
        <v>-38217000</v>
      </c>
      <c r="N9" s="708">
        <f>+D9+L9+M9</f>
        <v>69783000</v>
      </c>
      <c r="O9" s="759"/>
      <c r="P9" s="686"/>
    </row>
    <row r="10" spans="1:16" ht="15.75">
      <c r="A10" s="480" t="s">
        <v>335</v>
      </c>
      <c r="B10" s="482" t="s">
        <v>317</v>
      </c>
      <c r="C10" s="479"/>
      <c r="D10" s="706">
        <v>135000000</v>
      </c>
      <c r="E10" s="707"/>
      <c r="F10" s="707">
        <v>135000000</v>
      </c>
      <c r="G10" s="707"/>
      <c r="H10" s="707"/>
      <c r="I10" s="707">
        <v>135000000</v>
      </c>
      <c r="J10" s="707">
        <v>173217000</v>
      </c>
      <c r="K10" s="707">
        <v>38217000</v>
      </c>
      <c r="L10" s="706">
        <v>38217000</v>
      </c>
      <c r="M10" s="706"/>
      <c r="N10" s="708">
        <f>+D10+L10+M10</f>
        <v>173217000</v>
      </c>
      <c r="O10" s="759"/>
      <c r="P10" s="686"/>
    </row>
    <row r="11" spans="1:16" s="723" customFormat="1" ht="15.75">
      <c r="A11" s="477">
        <v>2</v>
      </c>
      <c r="B11" s="478" t="s">
        <v>128</v>
      </c>
      <c r="C11" s="479" t="s">
        <v>320</v>
      </c>
      <c r="D11" s="705">
        <f>D12</f>
        <v>868645000</v>
      </c>
      <c r="E11" s="705">
        <f aca="true" t="shared" si="2" ref="E11:N11">E12</f>
        <v>0</v>
      </c>
      <c r="F11" s="705">
        <f t="shared" si="2"/>
        <v>0</v>
      </c>
      <c r="G11" s="705">
        <f t="shared" si="2"/>
        <v>0</v>
      </c>
      <c r="H11" s="705">
        <f t="shared" si="2"/>
        <v>0</v>
      </c>
      <c r="I11" s="705">
        <f t="shared" si="2"/>
        <v>0</v>
      </c>
      <c r="J11" s="705">
        <f t="shared" si="2"/>
        <v>0</v>
      </c>
      <c r="K11" s="705">
        <f t="shared" si="2"/>
        <v>0</v>
      </c>
      <c r="L11" s="705">
        <f t="shared" si="2"/>
        <v>22241000</v>
      </c>
      <c r="M11" s="705"/>
      <c r="N11" s="705">
        <f t="shared" si="2"/>
        <v>890886000</v>
      </c>
      <c r="O11" s="688"/>
      <c r="P11" s="684"/>
    </row>
    <row r="12" spans="1:16" ht="15.75">
      <c r="A12" s="480" t="s">
        <v>335</v>
      </c>
      <c r="B12" s="481" t="s">
        <v>342</v>
      </c>
      <c r="C12" s="479"/>
      <c r="D12" s="706">
        <f>868645000</f>
        <v>868645000</v>
      </c>
      <c r="E12" s="707"/>
      <c r="F12" s="707"/>
      <c r="G12" s="707"/>
      <c r="H12" s="707"/>
      <c r="I12" s="707"/>
      <c r="J12" s="707"/>
      <c r="K12" s="707"/>
      <c r="L12" s="706">
        <f>22241000</f>
        <v>22241000</v>
      </c>
      <c r="M12" s="706"/>
      <c r="N12" s="708">
        <f>D12+L12+M12</f>
        <v>890886000</v>
      </c>
      <c r="O12" s="687"/>
      <c r="P12" s="686"/>
    </row>
    <row r="13" spans="1:17" s="723" customFormat="1" ht="15.75">
      <c r="A13" s="477">
        <v>3</v>
      </c>
      <c r="B13" s="478" t="s">
        <v>117</v>
      </c>
      <c r="C13" s="479" t="s">
        <v>320</v>
      </c>
      <c r="D13" s="705">
        <f>D14+D15+D16</f>
        <v>452940000</v>
      </c>
      <c r="E13" s="705">
        <f aca="true" t="shared" si="3" ref="E13:K13">E14+E15+E16</f>
        <v>0</v>
      </c>
      <c r="F13" s="705">
        <f t="shared" si="3"/>
        <v>49500000</v>
      </c>
      <c r="G13" s="705">
        <f t="shared" si="3"/>
        <v>0</v>
      </c>
      <c r="H13" s="705">
        <f t="shared" si="3"/>
        <v>0</v>
      </c>
      <c r="I13" s="705">
        <f t="shared" si="3"/>
        <v>49500000</v>
      </c>
      <c r="J13" s="705">
        <f t="shared" si="3"/>
        <v>49500000</v>
      </c>
      <c r="K13" s="705">
        <f t="shared" si="3"/>
        <v>0</v>
      </c>
      <c r="L13" s="705">
        <f>L14+L15+L16</f>
        <v>28062375</v>
      </c>
      <c r="M13" s="705">
        <f>M14+M15+M16</f>
        <v>-10000000</v>
      </c>
      <c r="N13" s="705">
        <f>N14+N15+N16</f>
        <v>471002375</v>
      </c>
      <c r="O13" s="683"/>
      <c r="P13" s="684"/>
      <c r="Q13" s="722"/>
    </row>
    <row r="14" spans="1:17" s="727" customFormat="1" ht="15.75">
      <c r="A14" s="477" t="s">
        <v>335</v>
      </c>
      <c r="B14" s="481" t="s">
        <v>342</v>
      </c>
      <c r="C14" s="479"/>
      <c r="D14" s="706">
        <f>403440000</f>
        <v>403440000</v>
      </c>
      <c r="E14" s="707"/>
      <c r="F14" s="707"/>
      <c r="G14" s="707"/>
      <c r="H14" s="707"/>
      <c r="I14" s="707"/>
      <c r="J14" s="707"/>
      <c r="K14" s="707"/>
      <c r="L14" s="709">
        <f>18062375</f>
        <v>18062375</v>
      </c>
      <c r="M14" s="705"/>
      <c r="N14" s="708">
        <f>D14+L14-M14</f>
        <v>421502375</v>
      </c>
      <c r="O14" s="692"/>
      <c r="P14" s="684"/>
      <c r="Q14" s="726"/>
    </row>
    <row r="15" spans="1:16" ht="15.75">
      <c r="A15" s="480" t="s">
        <v>335</v>
      </c>
      <c r="B15" s="482" t="s">
        <v>336</v>
      </c>
      <c r="C15" s="479"/>
      <c r="D15" s="706">
        <v>18000000</v>
      </c>
      <c r="E15" s="707"/>
      <c r="F15" s="707">
        <v>18000000</v>
      </c>
      <c r="G15" s="707"/>
      <c r="H15" s="707"/>
      <c r="I15" s="707">
        <v>18000000</v>
      </c>
      <c r="J15" s="707">
        <v>8000000</v>
      </c>
      <c r="K15" s="707">
        <v>-10000000</v>
      </c>
      <c r="L15" s="706"/>
      <c r="M15" s="706">
        <v>-10000000</v>
      </c>
      <c r="N15" s="708">
        <f>+D15+L15+M15</f>
        <v>8000000</v>
      </c>
      <c r="O15" s="759"/>
      <c r="P15" s="686"/>
    </row>
    <row r="16" spans="1:15" s="677" customFormat="1" ht="15.75">
      <c r="A16" s="480" t="s">
        <v>335</v>
      </c>
      <c r="B16" s="482" t="s">
        <v>321</v>
      </c>
      <c r="C16" s="479"/>
      <c r="D16" s="706">
        <v>31500000</v>
      </c>
      <c r="E16" s="710"/>
      <c r="F16" s="710">
        <v>31500000</v>
      </c>
      <c r="G16" s="707"/>
      <c r="H16" s="707"/>
      <c r="I16" s="707">
        <v>31500000</v>
      </c>
      <c r="J16" s="707">
        <v>41500000</v>
      </c>
      <c r="K16" s="707">
        <v>10000000</v>
      </c>
      <c r="L16" s="706">
        <v>10000000</v>
      </c>
      <c r="M16" s="706"/>
      <c r="N16" s="708">
        <f>+D16+L16+M16</f>
        <v>41500000</v>
      </c>
      <c r="O16" s="759"/>
    </row>
    <row r="17" spans="1:16" ht="31.5">
      <c r="A17" s="477">
        <v>4</v>
      </c>
      <c r="B17" s="478" t="s">
        <v>586</v>
      </c>
      <c r="C17" s="479" t="s">
        <v>320</v>
      </c>
      <c r="D17" s="711">
        <f>SUM(D18:D23)</f>
        <v>2315577000</v>
      </c>
      <c r="E17" s="711">
        <f aca="true" t="shared" si="4" ref="E17:K17">SUM(E18:E23)</f>
        <v>0</v>
      </c>
      <c r="F17" s="711">
        <f t="shared" si="4"/>
        <v>705900000</v>
      </c>
      <c r="G17" s="711">
        <f t="shared" si="4"/>
        <v>0</v>
      </c>
      <c r="H17" s="711">
        <f t="shared" si="4"/>
        <v>4719816</v>
      </c>
      <c r="I17" s="711">
        <f t="shared" si="4"/>
        <v>701180184</v>
      </c>
      <c r="J17" s="711">
        <f t="shared" si="4"/>
        <v>754590492</v>
      </c>
      <c r="K17" s="711">
        <f t="shared" si="4"/>
        <v>48690492</v>
      </c>
      <c r="L17" s="711">
        <f>SUM(L18:L23)</f>
        <v>53869508</v>
      </c>
      <c r="M17" s="711">
        <f>SUM(M18:M23)</f>
        <v>-78882393</v>
      </c>
      <c r="N17" s="711">
        <f>SUM(N18:N23)</f>
        <v>2290564115</v>
      </c>
      <c r="O17" s="687"/>
      <c r="P17" s="686"/>
    </row>
    <row r="18" spans="1:16" s="728" customFormat="1" ht="15.75">
      <c r="A18" s="480" t="s">
        <v>335</v>
      </c>
      <c r="B18" s="481" t="s">
        <v>342</v>
      </c>
      <c r="C18" s="479"/>
      <c r="D18" s="706">
        <v>1609677000</v>
      </c>
      <c r="E18" s="707"/>
      <c r="F18" s="707"/>
      <c r="G18" s="707"/>
      <c r="H18" s="707"/>
      <c r="I18" s="707"/>
      <c r="J18" s="707"/>
      <c r="K18" s="707"/>
      <c r="L18" s="706"/>
      <c r="M18" s="709">
        <f>-51690491-682394</f>
        <v>-52372885</v>
      </c>
      <c r="N18" s="708">
        <f>D18+L18+M18</f>
        <v>1557304115</v>
      </c>
      <c r="O18" s="690"/>
      <c r="P18" s="686"/>
    </row>
    <row r="19" spans="1:17" s="723" customFormat="1" ht="15.75">
      <c r="A19" s="772" t="s">
        <v>335</v>
      </c>
      <c r="B19" s="755" t="s">
        <v>319</v>
      </c>
      <c r="C19" s="757"/>
      <c r="D19" s="756">
        <v>381419000</v>
      </c>
      <c r="E19" s="712"/>
      <c r="F19" s="712"/>
      <c r="G19" s="712"/>
      <c r="H19" s="712"/>
      <c r="I19" s="712"/>
      <c r="J19" s="712"/>
      <c r="K19" s="712"/>
      <c r="L19" s="760"/>
      <c r="M19" s="713">
        <v>-7000000</v>
      </c>
      <c r="N19" s="761">
        <f>+D19+M19+M20</f>
        <v>354909492</v>
      </c>
      <c r="O19" s="759"/>
      <c r="P19" s="684"/>
      <c r="Q19" s="722"/>
    </row>
    <row r="20" spans="1:15" s="677" customFormat="1" ht="15.75">
      <c r="A20" s="772"/>
      <c r="B20" s="755"/>
      <c r="C20" s="757"/>
      <c r="D20" s="756"/>
      <c r="E20" s="710"/>
      <c r="F20" s="710">
        <v>381419000</v>
      </c>
      <c r="G20" s="707"/>
      <c r="H20" s="707">
        <v>4134000</v>
      </c>
      <c r="I20" s="707">
        <v>377285000</v>
      </c>
      <c r="J20" s="707">
        <v>354909492</v>
      </c>
      <c r="K20" s="707">
        <v>-26509508</v>
      </c>
      <c r="L20" s="760"/>
      <c r="M20" s="713">
        <v>-19509508</v>
      </c>
      <c r="N20" s="761"/>
      <c r="O20" s="759"/>
    </row>
    <row r="21" spans="1:16" ht="15.75">
      <c r="A21" s="480" t="s">
        <v>335</v>
      </c>
      <c r="B21" s="481" t="s">
        <v>317</v>
      </c>
      <c r="C21" s="479"/>
      <c r="D21" s="706">
        <v>135000000</v>
      </c>
      <c r="E21" s="707"/>
      <c r="F21" s="707">
        <v>135000000</v>
      </c>
      <c r="G21" s="707"/>
      <c r="H21" s="707"/>
      <c r="I21" s="707">
        <v>135000000</v>
      </c>
      <c r="J21" s="707">
        <v>142000000</v>
      </c>
      <c r="K21" s="707">
        <v>7000000</v>
      </c>
      <c r="L21" s="713">
        <v>7000000</v>
      </c>
      <c r="M21" s="713"/>
      <c r="N21" s="708">
        <f>+D21+L21-M21</f>
        <v>142000000</v>
      </c>
      <c r="O21" s="685"/>
      <c r="P21" s="686"/>
    </row>
    <row r="22" spans="1:16" ht="15.75">
      <c r="A22" s="773" t="s">
        <v>335</v>
      </c>
      <c r="B22" s="754" t="s">
        <v>318</v>
      </c>
      <c r="C22" s="757"/>
      <c r="D22" s="756">
        <v>189481000</v>
      </c>
      <c r="E22" s="707"/>
      <c r="F22" s="707"/>
      <c r="G22" s="707"/>
      <c r="H22" s="707"/>
      <c r="I22" s="707"/>
      <c r="J22" s="707"/>
      <c r="K22" s="707"/>
      <c r="L22" s="713">
        <v>27360000</v>
      </c>
      <c r="M22" s="758"/>
      <c r="N22" s="761">
        <f>+D22+L22+L23</f>
        <v>236350508</v>
      </c>
      <c r="O22" s="762"/>
      <c r="P22" s="686"/>
    </row>
    <row r="23" spans="1:16" s="677" customFormat="1" ht="15.75">
      <c r="A23" s="773"/>
      <c r="B23" s="754"/>
      <c r="C23" s="757"/>
      <c r="D23" s="756"/>
      <c r="E23" s="710"/>
      <c r="F23" s="710">
        <v>189481000</v>
      </c>
      <c r="G23" s="707"/>
      <c r="H23" s="707">
        <v>585816</v>
      </c>
      <c r="I23" s="707">
        <v>188895184</v>
      </c>
      <c r="J23" s="707">
        <v>257681000</v>
      </c>
      <c r="K23" s="707">
        <v>68200000</v>
      </c>
      <c r="L23" s="713">
        <f>46869508-27360000</f>
        <v>19509508</v>
      </c>
      <c r="M23" s="758"/>
      <c r="N23" s="761"/>
      <c r="O23" s="763"/>
      <c r="P23" s="703"/>
    </row>
    <row r="24" spans="1:16" s="723" customFormat="1" ht="15.75">
      <c r="A24" s="477">
        <v>5</v>
      </c>
      <c r="B24" s="478" t="s">
        <v>343</v>
      </c>
      <c r="C24" s="479" t="s">
        <v>320</v>
      </c>
      <c r="D24" s="705">
        <f>D25</f>
        <v>205607000</v>
      </c>
      <c r="E24" s="705">
        <f aca="true" t="shared" si="5" ref="E24:N24">E25</f>
        <v>0</v>
      </c>
      <c r="F24" s="705">
        <f t="shared" si="5"/>
        <v>0</v>
      </c>
      <c r="G24" s="705">
        <f t="shared" si="5"/>
        <v>0</v>
      </c>
      <c r="H24" s="705">
        <f t="shared" si="5"/>
        <v>0</v>
      </c>
      <c r="I24" s="705">
        <f t="shared" si="5"/>
        <v>0</v>
      </c>
      <c r="J24" s="705">
        <f t="shared" si="5"/>
        <v>0</v>
      </c>
      <c r="K24" s="705">
        <f t="shared" si="5"/>
        <v>0</v>
      </c>
      <c r="L24" s="705"/>
      <c r="M24" s="705">
        <f>-Sheet5!X380*1490000*12</f>
        <v>-14603490</v>
      </c>
      <c r="N24" s="705">
        <f t="shared" si="5"/>
        <v>191003510</v>
      </c>
      <c r="O24" s="688"/>
      <c r="P24" s="684"/>
    </row>
    <row r="25" spans="1:16" s="728" customFormat="1" ht="15.75">
      <c r="A25" s="480" t="s">
        <v>335</v>
      </c>
      <c r="B25" s="481" t="s">
        <v>342</v>
      </c>
      <c r="C25" s="479"/>
      <c r="D25" s="706">
        <f>205607000</f>
        <v>205607000</v>
      </c>
      <c r="E25" s="707"/>
      <c r="F25" s="707"/>
      <c r="G25" s="707"/>
      <c r="H25" s="707"/>
      <c r="I25" s="707"/>
      <c r="J25" s="707"/>
      <c r="K25" s="707"/>
      <c r="L25" s="706"/>
      <c r="M25" s="706">
        <f>-Sheet5!X381*1490000*12</f>
        <v>-14603490</v>
      </c>
      <c r="N25" s="708">
        <f>D25+L25+M25</f>
        <v>191003510</v>
      </c>
      <c r="O25" s="691"/>
      <c r="P25" s="686"/>
    </row>
    <row r="26" spans="1:16" s="723" customFormat="1" ht="15.75">
      <c r="A26" s="477">
        <v>6</v>
      </c>
      <c r="B26" s="478" t="s">
        <v>253</v>
      </c>
      <c r="C26" s="479" t="s">
        <v>320</v>
      </c>
      <c r="D26" s="705">
        <f>SUM(D27:D31)</f>
        <v>1703217000</v>
      </c>
      <c r="E26" s="705">
        <f aca="true" t="shared" si="6" ref="E26:K26">SUM(E27:E31)</f>
        <v>0</v>
      </c>
      <c r="F26" s="705">
        <f t="shared" si="6"/>
        <v>450000000</v>
      </c>
      <c r="G26" s="705">
        <f t="shared" si="6"/>
        <v>0</v>
      </c>
      <c r="H26" s="705">
        <f t="shared" si="6"/>
        <v>0</v>
      </c>
      <c r="I26" s="705">
        <f t="shared" si="6"/>
        <v>450000000</v>
      </c>
      <c r="J26" s="705">
        <f t="shared" si="6"/>
        <v>600000000</v>
      </c>
      <c r="K26" s="705">
        <f t="shared" si="6"/>
        <v>150000000</v>
      </c>
      <c r="L26" s="705">
        <f>SUM(L27:L31)</f>
        <v>225000000</v>
      </c>
      <c r="M26" s="705">
        <f>SUM(M27:M31)</f>
        <v>-265000000</v>
      </c>
      <c r="N26" s="705">
        <f>SUM(N27:N31)</f>
        <v>1663217000</v>
      </c>
      <c r="O26" s="688"/>
      <c r="P26" s="684"/>
    </row>
    <row r="27" spans="1:16" s="725" customFormat="1" ht="15.75">
      <c r="A27" s="480" t="s">
        <v>335</v>
      </c>
      <c r="B27" s="481" t="s">
        <v>342</v>
      </c>
      <c r="C27" s="479"/>
      <c r="D27" s="706">
        <f>1178217000</f>
        <v>1178217000</v>
      </c>
      <c r="E27" s="707"/>
      <c r="F27" s="707"/>
      <c r="G27" s="707"/>
      <c r="H27" s="707"/>
      <c r="I27" s="707"/>
      <c r="J27" s="707"/>
      <c r="K27" s="707"/>
      <c r="L27" s="706"/>
      <c r="M27" s="706">
        <v>-40000000</v>
      </c>
      <c r="N27" s="708">
        <f>D27+L27+M27</f>
        <v>1138217000</v>
      </c>
      <c r="O27" s="691"/>
      <c r="P27" s="686"/>
    </row>
    <row r="28" spans="1:16" s="721" customFormat="1" ht="31.5">
      <c r="A28" s="679" t="s">
        <v>335</v>
      </c>
      <c r="B28" s="482" t="s">
        <v>338</v>
      </c>
      <c r="C28" s="479" t="s">
        <v>339</v>
      </c>
      <c r="D28" s="706">
        <v>90000000</v>
      </c>
      <c r="E28" s="714"/>
      <c r="F28" s="714">
        <v>90000000</v>
      </c>
      <c r="G28" s="714"/>
      <c r="H28" s="714"/>
      <c r="I28" s="707">
        <f>+D28-H28</f>
        <v>90000000</v>
      </c>
      <c r="J28" s="714"/>
      <c r="K28" s="707">
        <f>+J28-D28</f>
        <v>-90000000</v>
      </c>
      <c r="L28" s="713"/>
      <c r="M28" s="713">
        <v>-90000000</v>
      </c>
      <c r="N28" s="708">
        <f>+D28+L28+M28</f>
        <v>0</v>
      </c>
      <c r="O28" s="759"/>
      <c r="P28" s="682"/>
    </row>
    <row r="29" spans="1:16" s="721" customFormat="1" ht="15.75">
      <c r="A29" s="679" t="s">
        <v>335</v>
      </c>
      <c r="B29" s="482" t="s">
        <v>330</v>
      </c>
      <c r="C29" s="479" t="s">
        <v>10</v>
      </c>
      <c r="D29" s="706">
        <v>180000000</v>
      </c>
      <c r="E29" s="714"/>
      <c r="F29" s="714">
        <v>180000000</v>
      </c>
      <c r="G29" s="714"/>
      <c r="H29" s="714"/>
      <c r="I29" s="707">
        <v>180000000</v>
      </c>
      <c r="J29" s="714">
        <v>300000000</v>
      </c>
      <c r="K29" s="707">
        <v>120000000</v>
      </c>
      <c r="L29" s="713">
        <f>90000000</f>
        <v>90000000</v>
      </c>
      <c r="M29" s="713"/>
      <c r="N29" s="708">
        <f>+D29+L29+M29</f>
        <v>270000000</v>
      </c>
      <c r="O29" s="759"/>
      <c r="P29" s="682"/>
    </row>
    <row r="30" spans="1:16" s="729" customFormat="1" ht="15.75">
      <c r="A30" s="679" t="s">
        <v>335</v>
      </c>
      <c r="B30" s="482" t="s">
        <v>576</v>
      </c>
      <c r="C30" s="479" t="s">
        <v>10</v>
      </c>
      <c r="D30" s="706">
        <v>135000000</v>
      </c>
      <c r="E30" s="714"/>
      <c r="F30" s="714"/>
      <c r="G30" s="714"/>
      <c r="H30" s="714"/>
      <c r="I30" s="707"/>
      <c r="J30" s="714"/>
      <c r="K30" s="707"/>
      <c r="L30" s="713"/>
      <c r="M30" s="713">
        <v>-135000000</v>
      </c>
      <c r="N30" s="708"/>
      <c r="O30" s="759"/>
      <c r="P30" s="682"/>
    </row>
    <row r="31" spans="1:16" s="721" customFormat="1" ht="15.75">
      <c r="A31" s="679" t="s">
        <v>335</v>
      </c>
      <c r="B31" s="482" t="s">
        <v>591</v>
      </c>
      <c r="C31" s="479" t="s">
        <v>320</v>
      </c>
      <c r="D31" s="706">
        <v>120000000</v>
      </c>
      <c r="E31" s="714"/>
      <c r="F31" s="714">
        <v>180000000</v>
      </c>
      <c r="G31" s="714"/>
      <c r="H31" s="714"/>
      <c r="I31" s="707">
        <v>180000000</v>
      </c>
      <c r="J31" s="714">
        <v>300000000</v>
      </c>
      <c r="K31" s="707">
        <v>120000000</v>
      </c>
      <c r="L31" s="713">
        <v>135000000</v>
      </c>
      <c r="M31" s="713"/>
      <c r="N31" s="708">
        <f>+D31+L31+M31</f>
        <v>255000000</v>
      </c>
      <c r="O31" s="759"/>
      <c r="P31" s="682"/>
    </row>
    <row r="32" spans="1:16" s="723" customFormat="1" ht="15.75">
      <c r="A32" s="477">
        <v>7</v>
      </c>
      <c r="B32" s="478" t="s">
        <v>341</v>
      </c>
      <c r="C32" s="479" t="s">
        <v>320</v>
      </c>
      <c r="D32" s="705">
        <f>SUM(D33:D35)</f>
        <v>76500000</v>
      </c>
      <c r="E32" s="712">
        <f aca="true" t="shared" si="7" ref="E32:N32">SUM(E33:E35)</f>
        <v>0</v>
      </c>
      <c r="F32" s="712">
        <f t="shared" si="7"/>
        <v>76500000</v>
      </c>
      <c r="G32" s="712">
        <f t="shared" si="7"/>
        <v>0</v>
      </c>
      <c r="H32" s="712">
        <f t="shared" si="7"/>
        <v>0</v>
      </c>
      <c r="I32" s="712">
        <f t="shared" si="7"/>
        <v>76500000</v>
      </c>
      <c r="J32" s="712">
        <f t="shared" si="7"/>
        <v>76500000</v>
      </c>
      <c r="K32" s="712">
        <f t="shared" si="7"/>
        <v>0</v>
      </c>
      <c r="L32" s="705">
        <f>SUM(L33:L35)</f>
        <v>49500000</v>
      </c>
      <c r="M32" s="705">
        <f>SUM(M33:M35)</f>
        <v>-49500000</v>
      </c>
      <c r="N32" s="715">
        <f t="shared" si="7"/>
        <v>76500000</v>
      </c>
      <c r="O32" s="683"/>
      <c r="P32" s="684"/>
    </row>
    <row r="33" spans="1:16" ht="15.75">
      <c r="A33" s="480" t="s">
        <v>335</v>
      </c>
      <c r="B33" s="482" t="s">
        <v>323</v>
      </c>
      <c r="C33" s="479"/>
      <c r="D33" s="706">
        <v>49500000</v>
      </c>
      <c r="E33" s="707"/>
      <c r="F33" s="707">
        <v>49500000</v>
      </c>
      <c r="G33" s="707"/>
      <c r="H33" s="707"/>
      <c r="I33" s="707">
        <v>49500000</v>
      </c>
      <c r="J33" s="707"/>
      <c r="K33" s="707">
        <v>-49500000</v>
      </c>
      <c r="L33" s="706"/>
      <c r="M33" s="706">
        <v>-49500000</v>
      </c>
      <c r="N33" s="708">
        <f>+D33+L33+M33</f>
        <v>0</v>
      </c>
      <c r="O33" s="759"/>
      <c r="P33" s="686"/>
    </row>
    <row r="34" spans="1:16" ht="31.5">
      <c r="A34" s="480" t="s">
        <v>335</v>
      </c>
      <c r="B34" s="482" t="s">
        <v>324</v>
      </c>
      <c r="C34" s="479"/>
      <c r="D34" s="706">
        <v>27000000</v>
      </c>
      <c r="E34" s="707"/>
      <c r="F34" s="707">
        <v>27000000</v>
      </c>
      <c r="G34" s="707"/>
      <c r="H34" s="707"/>
      <c r="I34" s="707">
        <v>27000000</v>
      </c>
      <c r="J34" s="707">
        <v>61600000</v>
      </c>
      <c r="K34" s="707">
        <v>34600000</v>
      </c>
      <c r="L34" s="706">
        <v>34600000</v>
      </c>
      <c r="M34" s="706"/>
      <c r="N34" s="708">
        <f>+D34+L34+M34</f>
        <v>61600000</v>
      </c>
      <c r="O34" s="759"/>
      <c r="P34" s="686"/>
    </row>
    <row r="35" spans="1:16" ht="15.75">
      <c r="A35" s="480" t="s">
        <v>335</v>
      </c>
      <c r="B35" s="482" t="s">
        <v>325</v>
      </c>
      <c r="C35" s="479"/>
      <c r="D35" s="706">
        <v>0</v>
      </c>
      <c r="E35" s="707"/>
      <c r="F35" s="707"/>
      <c r="G35" s="707"/>
      <c r="H35" s="707"/>
      <c r="I35" s="707">
        <v>0</v>
      </c>
      <c r="J35" s="707">
        <v>14900000</v>
      </c>
      <c r="K35" s="707">
        <v>14900000</v>
      </c>
      <c r="L35" s="706">
        <v>14900000</v>
      </c>
      <c r="M35" s="706"/>
      <c r="N35" s="708">
        <f>+D35+L35+M35</f>
        <v>14900000</v>
      </c>
      <c r="O35" s="759"/>
      <c r="P35" s="686"/>
    </row>
    <row r="36" spans="1:16" s="723" customFormat="1" ht="15.75">
      <c r="A36" s="477">
        <v>8</v>
      </c>
      <c r="B36" s="478" t="s">
        <v>575</v>
      </c>
      <c r="C36" s="479" t="s">
        <v>320</v>
      </c>
      <c r="D36" s="705">
        <f>D37</f>
        <v>1036525000</v>
      </c>
      <c r="E36" s="705">
        <f aca="true" t="shared" si="8" ref="E36:N36">E37</f>
        <v>0</v>
      </c>
      <c r="F36" s="705">
        <f t="shared" si="8"/>
        <v>0</v>
      </c>
      <c r="G36" s="705">
        <f t="shared" si="8"/>
        <v>0</v>
      </c>
      <c r="H36" s="705">
        <f t="shared" si="8"/>
        <v>0</v>
      </c>
      <c r="I36" s="705">
        <f t="shared" si="8"/>
        <v>0</v>
      </c>
      <c r="J36" s="705">
        <f t="shared" si="8"/>
        <v>0</v>
      </c>
      <c r="K36" s="705">
        <f t="shared" si="8"/>
        <v>0</v>
      </c>
      <c r="L36" s="705"/>
      <c r="M36" s="705">
        <f t="shared" si="8"/>
        <v>-97446000</v>
      </c>
      <c r="N36" s="705">
        <f t="shared" si="8"/>
        <v>939079000</v>
      </c>
      <c r="O36" s="688"/>
      <c r="P36" s="684"/>
    </row>
    <row r="37" spans="1:16" s="725" customFormat="1" ht="15.75">
      <c r="A37" s="480" t="s">
        <v>335</v>
      </c>
      <c r="B37" s="481" t="s">
        <v>342</v>
      </c>
      <c r="C37" s="479"/>
      <c r="D37" s="706">
        <f>1036525000</f>
        <v>1036525000</v>
      </c>
      <c r="E37" s="707"/>
      <c r="F37" s="707"/>
      <c r="G37" s="707"/>
      <c r="H37" s="707"/>
      <c r="I37" s="707"/>
      <c r="J37" s="707"/>
      <c r="K37" s="707"/>
      <c r="L37" s="706"/>
      <c r="M37" s="706">
        <f>-89000000-8446000</f>
        <v>-97446000</v>
      </c>
      <c r="N37" s="708">
        <f>D37+L37+M37</f>
        <v>939079000</v>
      </c>
      <c r="O37" s="691"/>
      <c r="P37" s="686"/>
    </row>
    <row r="38" spans="1:16" s="721" customFormat="1" ht="15.75">
      <c r="A38" s="679">
        <v>9</v>
      </c>
      <c r="B38" s="478" t="s">
        <v>337</v>
      </c>
      <c r="C38" s="479" t="s">
        <v>10</v>
      </c>
      <c r="D38" s="705">
        <v>131188000</v>
      </c>
      <c r="E38" s="712">
        <v>0</v>
      </c>
      <c r="F38" s="712">
        <v>131188000</v>
      </c>
      <c r="G38" s="712">
        <v>0</v>
      </c>
      <c r="H38" s="712">
        <v>0</v>
      </c>
      <c r="I38" s="712">
        <v>131188000</v>
      </c>
      <c r="J38" s="712">
        <v>113174000</v>
      </c>
      <c r="K38" s="712">
        <v>-18014000</v>
      </c>
      <c r="L38" s="705"/>
      <c r="M38" s="704">
        <f>M39+M41+M40</f>
        <v>-131188000</v>
      </c>
      <c r="N38" s="715">
        <f>+D38+L38+M38</f>
        <v>0</v>
      </c>
      <c r="O38" s="688"/>
      <c r="P38" s="682"/>
    </row>
    <row r="39" spans="1:16" s="721" customFormat="1" ht="31.5">
      <c r="A39" s="679" t="s">
        <v>335</v>
      </c>
      <c r="B39" s="482" t="s">
        <v>578</v>
      </c>
      <c r="C39" s="479"/>
      <c r="D39" s="705"/>
      <c r="E39" s="712"/>
      <c r="F39" s="712"/>
      <c r="G39" s="712"/>
      <c r="H39" s="712"/>
      <c r="I39" s="712"/>
      <c r="J39" s="712"/>
      <c r="K39" s="712"/>
      <c r="L39" s="705"/>
      <c r="M39" s="713">
        <f>-103828000+12000000</f>
        <v>-91828000</v>
      </c>
      <c r="N39" s="715"/>
      <c r="O39" s="687"/>
      <c r="P39" s="682"/>
    </row>
    <row r="40" spans="1:16" s="721" customFormat="1" ht="15.75">
      <c r="A40" s="679" t="s">
        <v>335</v>
      </c>
      <c r="B40" s="482" t="s">
        <v>577</v>
      </c>
      <c r="C40" s="479"/>
      <c r="D40" s="705"/>
      <c r="E40" s="712"/>
      <c r="F40" s="712"/>
      <c r="G40" s="712"/>
      <c r="H40" s="712"/>
      <c r="I40" s="712"/>
      <c r="J40" s="712"/>
      <c r="K40" s="712"/>
      <c r="L40" s="705"/>
      <c r="M40" s="713">
        <f>-12000000</f>
        <v>-12000000</v>
      </c>
      <c r="N40" s="715"/>
      <c r="O40" s="687"/>
      <c r="P40" s="682"/>
    </row>
    <row r="41" spans="1:16" s="721" customFormat="1" ht="63">
      <c r="A41" s="679" t="s">
        <v>335</v>
      </c>
      <c r="B41" s="482" t="s">
        <v>587</v>
      </c>
      <c r="C41" s="479"/>
      <c r="D41" s="705"/>
      <c r="E41" s="712"/>
      <c r="F41" s="712"/>
      <c r="G41" s="712"/>
      <c r="H41" s="712"/>
      <c r="I41" s="712"/>
      <c r="J41" s="712"/>
      <c r="K41" s="712"/>
      <c r="L41" s="705"/>
      <c r="M41" s="713">
        <v>-27360000</v>
      </c>
      <c r="N41" s="715"/>
      <c r="O41" s="687"/>
      <c r="P41" s="682"/>
    </row>
    <row r="42" spans="1:16" s="721" customFormat="1" ht="15.75">
      <c r="A42" s="679">
        <v>10</v>
      </c>
      <c r="B42" s="478" t="s">
        <v>322</v>
      </c>
      <c r="C42" s="479" t="s">
        <v>10</v>
      </c>
      <c r="D42" s="705">
        <f>SUM(D43:D45)</f>
        <v>835697000</v>
      </c>
      <c r="E42" s="705">
        <f aca="true" t="shared" si="9" ref="E42:K42">SUM(E43:E45)</f>
        <v>0</v>
      </c>
      <c r="F42" s="705">
        <f t="shared" si="9"/>
        <v>0</v>
      </c>
      <c r="G42" s="705">
        <f t="shared" si="9"/>
        <v>0</v>
      </c>
      <c r="H42" s="705">
        <f t="shared" si="9"/>
        <v>0</v>
      </c>
      <c r="I42" s="705">
        <f t="shared" si="9"/>
        <v>835697000</v>
      </c>
      <c r="J42" s="705">
        <f t="shared" si="9"/>
        <v>103828000</v>
      </c>
      <c r="K42" s="705">
        <f t="shared" si="9"/>
        <v>-731869000</v>
      </c>
      <c r="L42" s="705">
        <f>SUM(L43:L45)</f>
        <v>142074000</v>
      </c>
      <c r="M42" s="705">
        <f>SUM(M43:M45)</f>
        <v>0</v>
      </c>
      <c r="N42" s="705">
        <f>SUM(N43:N45)</f>
        <v>977771000</v>
      </c>
      <c r="O42" s="688"/>
      <c r="P42" s="682"/>
    </row>
    <row r="43" spans="1:16" s="721" customFormat="1" ht="15.75">
      <c r="A43" s="679" t="s">
        <v>335</v>
      </c>
      <c r="B43" s="481" t="s">
        <v>342</v>
      </c>
      <c r="C43" s="479"/>
      <c r="D43" s="706">
        <v>835697000</v>
      </c>
      <c r="E43" s="714"/>
      <c r="F43" s="714"/>
      <c r="G43" s="714"/>
      <c r="H43" s="714"/>
      <c r="I43" s="707">
        <f>+D43-H43</f>
        <v>835697000</v>
      </c>
      <c r="J43" s="714">
        <f>91828000+12000000</f>
        <v>103828000</v>
      </c>
      <c r="K43" s="707">
        <f>+J43-D43</f>
        <v>-731869000</v>
      </c>
      <c r="L43" s="713">
        <f>103828000-12000000+8446000</f>
        <v>100274000</v>
      </c>
      <c r="M43" s="713"/>
      <c r="N43" s="708">
        <f>+D43+L43-M43</f>
        <v>935971000</v>
      </c>
      <c r="O43" s="691"/>
      <c r="P43" s="682"/>
    </row>
    <row r="44" spans="1:16" s="721" customFormat="1" ht="15.75">
      <c r="A44" s="679" t="s">
        <v>335</v>
      </c>
      <c r="B44" s="482" t="s">
        <v>588</v>
      </c>
      <c r="C44" s="479"/>
      <c r="D44" s="706"/>
      <c r="E44" s="714"/>
      <c r="F44" s="714"/>
      <c r="G44" s="714"/>
      <c r="H44" s="714"/>
      <c r="I44" s="707"/>
      <c r="J44" s="714"/>
      <c r="K44" s="707"/>
      <c r="L44" s="713">
        <v>12000000</v>
      </c>
      <c r="M44" s="713"/>
      <c r="N44" s="708">
        <f>+D44+L44-M44</f>
        <v>12000000</v>
      </c>
      <c r="O44" s="687"/>
      <c r="P44" s="682"/>
    </row>
    <row r="45" spans="1:16" s="729" customFormat="1" ht="15.75">
      <c r="A45" s="679" t="s">
        <v>335</v>
      </c>
      <c r="B45" s="482" t="s">
        <v>325</v>
      </c>
      <c r="C45" s="479"/>
      <c r="D45" s="706"/>
      <c r="E45" s="714"/>
      <c r="F45" s="714"/>
      <c r="G45" s="714"/>
      <c r="H45" s="714"/>
      <c r="I45" s="707"/>
      <c r="J45" s="714"/>
      <c r="K45" s="707"/>
      <c r="L45" s="713">
        <f>14900000*2</f>
        <v>29800000</v>
      </c>
      <c r="M45" s="713"/>
      <c r="N45" s="708">
        <f>+D45+L45-M45</f>
        <v>29800000</v>
      </c>
      <c r="O45" s="693"/>
      <c r="P45" s="682"/>
    </row>
    <row r="46" spans="1:16" s="721" customFormat="1" ht="15.75">
      <c r="A46" s="679">
        <v>11</v>
      </c>
      <c r="B46" s="478" t="s">
        <v>589</v>
      </c>
      <c r="D46" s="705">
        <f>SUM(D47:D52)</f>
        <v>1492988000</v>
      </c>
      <c r="E46" s="705">
        <f aca="true" t="shared" si="10" ref="E46:N46">SUM(E47:E52)</f>
        <v>0</v>
      </c>
      <c r="F46" s="705">
        <f t="shared" si="10"/>
        <v>636300000</v>
      </c>
      <c r="G46" s="705">
        <f t="shared" si="10"/>
        <v>45000000</v>
      </c>
      <c r="H46" s="705">
        <f t="shared" si="10"/>
        <v>356518928</v>
      </c>
      <c r="I46" s="705">
        <f t="shared" si="10"/>
        <v>324781072</v>
      </c>
      <c r="J46" s="705">
        <f t="shared" si="10"/>
        <v>735070000</v>
      </c>
      <c r="K46" s="705">
        <f t="shared" si="10"/>
        <v>10114492</v>
      </c>
      <c r="L46" s="705">
        <f t="shared" si="10"/>
        <v>145973000</v>
      </c>
      <c r="M46" s="705">
        <f t="shared" si="10"/>
        <v>-35000000</v>
      </c>
      <c r="N46" s="705">
        <f t="shared" si="10"/>
        <v>1603961000</v>
      </c>
      <c r="O46" s="687"/>
      <c r="P46" s="682"/>
    </row>
    <row r="47" spans="1:16" s="721" customFormat="1" ht="15.75">
      <c r="A47" s="679" t="s">
        <v>335</v>
      </c>
      <c r="B47" s="482" t="s">
        <v>325</v>
      </c>
      <c r="C47" s="479" t="s">
        <v>9</v>
      </c>
      <c r="D47" s="705"/>
      <c r="E47" s="705"/>
      <c r="F47" s="705"/>
      <c r="G47" s="705"/>
      <c r="H47" s="705"/>
      <c r="I47" s="705"/>
      <c r="J47" s="705"/>
      <c r="K47" s="705"/>
      <c r="L47" s="706">
        <f>14900000</f>
        <v>14900000</v>
      </c>
      <c r="M47" s="706"/>
      <c r="N47" s="716">
        <f>D47+L47-M47</f>
        <v>14900000</v>
      </c>
      <c r="O47" s="693"/>
      <c r="P47" s="682"/>
    </row>
    <row r="48" spans="1:16" s="721" customFormat="1" ht="47.25">
      <c r="A48" s="679" t="s">
        <v>335</v>
      </c>
      <c r="B48" s="482" t="s">
        <v>340</v>
      </c>
      <c r="C48" s="479" t="s">
        <v>9</v>
      </c>
      <c r="D48" s="706">
        <v>240300000</v>
      </c>
      <c r="E48" s="714"/>
      <c r="F48" s="714">
        <v>240300000</v>
      </c>
      <c r="G48" s="714"/>
      <c r="H48" s="714">
        <v>78133418</v>
      </c>
      <c r="I48" s="707">
        <v>162166582</v>
      </c>
      <c r="J48" s="714">
        <v>230300000</v>
      </c>
      <c r="K48" s="707">
        <v>-10000000</v>
      </c>
      <c r="L48" s="713"/>
      <c r="M48" s="713">
        <v>-10000000</v>
      </c>
      <c r="N48" s="708">
        <f>+D48+L48+M48</f>
        <v>230300000</v>
      </c>
      <c r="O48" s="685"/>
      <c r="P48" s="682"/>
    </row>
    <row r="49" spans="1:16" s="721" customFormat="1" ht="31.5">
      <c r="A49" s="679" t="s">
        <v>335</v>
      </c>
      <c r="B49" s="482" t="s">
        <v>590</v>
      </c>
      <c r="C49" s="479" t="s">
        <v>326</v>
      </c>
      <c r="D49" s="706">
        <v>198000000</v>
      </c>
      <c r="E49" s="714"/>
      <c r="F49" s="714">
        <v>198000000</v>
      </c>
      <c r="G49" s="714"/>
      <c r="H49" s="714">
        <v>82412750</v>
      </c>
      <c r="I49" s="707">
        <v>115587250</v>
      </c>
      <c r="J49" s="714">
        <v>173000000</v>
      </c>
      <c r="K49" s="707">
        <v>-25000000</v>
      </c>
      <c r="L49" s="713"/>
      <c r="M49" s="713">
        <v>-25000000</v>
      </c>
      <c r="N49" s="708">
        <f>+D49+L49+M49</f>
        <v>173000000</v>
      </c>
      <c r="O49" s="685"/>
      <c r="P49" s="682"/>
    </row>
    <row r="50" spans="1:16" s="729" customFormat="1" ht="15.75">
      <c r="A50" s="679" t="s">
        <v>335</v>
      </c>
      <c r="B50" s="482" t="s">
        <v>325</v>
      </c>
      <c r="C50" s="479" t="s">
        <v>326</v>
      </c>
      <c r="D50" s="706"/>
      <c r="E50" s="714"/>
      <c r="F50" s="714"/>
      <c r="G50" s="714"/>
      <c r="H50" s="714"/>
      <c r="I50" s="707"/>
      <c r="J50" s="714"/>
      <c r="K50" s="707"/>
      <c r="L50" s="713">
        <v>14900000</v>
      </c>
      <c r="M50" s="713"/>
      <c r="N50" s="708">
        <f>+D50+L50+M50</f>
        <v>14900000</v>
      </c>
      <c r="O50" s="685"/>
      <c r="P50" s="682"/>
    </row>
    <row r="51" spans="1:16" s="725" customFormat="1" ht="15.75">
      <c r="A51" s="679" t="s">
        <v>335</v>
      </c>
      <c r="B51" s="481" t="s">
        <v>342</v>
      </c>
      <c r="C51" s="479" t="s">
        <v>326</v>
      </c>
      <c r="D51" s="706">
        <f>811688000</f>
        <v>811688000</v>
      </c>
      <c r="E51" s="707"/>
      <c r="F51" s="707"/>
      <c r="G51" s="707"/>
      <c r="H51" s="707"/>
      <c r="I51" s="707"/>
      <c r="J51" s="707"/>
      <c r="K51" s="707"/>
      <c r="L51" s="706">
        <v>81173000</v>
      </c>
      <c r="M51" s="717"/>
      <c r="N51" s="708">
        <f>+D51+L51+M51</f>
        <v>892861000</v>
      </c>
      <c r="O51" s="685"/>
      <c r="P51" s="702"/>
    </row>
    <row r="52" spans="1:16" s="721" customFormat="1" ht="15.75">
      <c r="A52" s="679" t="s">
        <v>335</v>
      </c>
      <c r="B52" s="482" t="s">
        <v>328</v>
      </c>
      <c r="C52" s="479" t="s">
        <v>331</v>
      </c>
      <c r="D52" s="706">
        <v>243000000</v>
      </c>
      <c r="E52" s="714"/>
      <c r="F52" s="714">
        <v>198000000</v>
      </c>
      <c r="G52" s="714">
        <v>45000000</v>
      </c>
      <c r="H52" s="714">
        <v>195972760</v>
      </c>
      <c r="I52" s="707">
        <v>47027240</v>
      </c>
      <c r="J52" s="714">
        <v>331770000</v>
      </c>
      <c r="K52" s="707">
        <v>45114492</v>
      </c>
      <c r="L52" s="713">
        <v>35000000</v>
      </c>
      <c r="M52" s="713"/>
      <c r="N52" s="708">
        <f>+D52+L52+M52</f>
        <v>278000000</v>
      </c>
      <c r="O52" s="685"/>
      <c r="P52" s="682"/>
    </row>
    <row r="53" spans="1:15" s="723" customFormat="1" ht="15.75">
      <c r="A53" s="730">
        <v>12</v>
      </c>
      <c r="B53" s="731" t="s">
        <v>579</v>
      </c>
      <c r="C53" s="732" t="s">
        <v>580</v>
      </c>
      <c r="D53" s="733">
        <f>D54</f>
        <v>353700000</v>
      </c>
      <c r="E53" s="733">
        <f aca="true" t="shared" si="11" ref="E53:N53">E54</f>
        <v>0</v>
      </c>
      <c r="F53" s="733">
        <f t="shared" si="11"/>
        <v>0</v>
      </c>
      <c r="G53" s="733">
        <f t="shared" si="11"/>
        <v>0</v>
      </c>
      <c r="H53" s="733">
        <f t="shared" si="11"/>
        <v>0</v>
      </c>
      <c r="I53" s="733">
        <f t="shared" si="11"/>
        <v>0</v>
      </c>
      <c r="J53" s="733">
        <f t="shared" si="11"/>
        <v>0</v>
      </c>
      <c r="K53" s="733">
        <f t="shared" si="11"/>
        <v>0</v>
      </c>
      <c r="L53" s="733">
        <f t="shared" si="11"/>
        <v>0</v>
      </c>
      <c r="M53" s="733">
        <f t="shared" si="11"/>
        <v>-29000000</v>
      </c>
      <c r="N53" s="733">
        <f t="shared" si="11"/>
        <v>324700000</v>
      </c>
      <c r="O53" s="734"/>
    </row>
    <row r="54" spans="1:15" ht="15.75">
      <c r="A54" s="735" t="s">
        <v>335</v>
      </c>
      <c r="B54" s="402" t="s">
        <v>583</v>
      </c>
      <c r="C54" s="732"/>
      <c r="D54" s="736">
        <v>353700000</v>
      </c>
      <c r="E54" s="737"/>
      <c r="F54" s="738"/>
      <c r="G54" s="738"/>
      <c r="H54" s="738"/>
      <c r="I54" s="738"/>
      <c r="J54" s="738"/>
      <c r="K54" s="738"/>
      <c r="L54" s="739"/>
      <c r="M54" s="739">
        <v>-29000000</v>
      </c>
      <c r="N54" s="740">
        <f>D54+L54+M54</f>
        <v>324700000</v>
      </c>
      <c r="O54" s="741"/>
    </row>
    <row r="55" spans="1:15" s="723" customFormat="1" ht="15.75">
      <c r="A55" s="730">
        <v>13</v>
      </c>
      <c r="B55" s="731" t="s">
        <v>581</v>
      </c>
      <c r="C55" s="742" t="s">
        <v>582</v>
      </c>
      <c r="D55" s="733">
        <f>D56</f>
        <v>0</v>
      </c>
      <c r="E55" s="733">
        <f aca="true" t="shared" si="12" ref="E55:N55">E56</f>
        <v>0</v>
      </c>
      <c r="F55" s="733">
        <f t="shared" si="12"/>
        <v>0</v>
      </c>
      <c r="G55" s="733">
        <f t="shared" si="12"/>
        <v>0</v>
      </c>
      <c r="H55" s="733">
        <f t="shared" si="12"/>
        <v>0</v>
      </c>
      <c r="I55" s="733">
        <f t="shared" si="12"/>
        <v>0</v>
      </c>
      <c r="J55" s="733">
        <f t="shared" si="12"/>
        <v>0</v>
      </c>
      <c r="K55" s="733">
        <f t="shared" si="12"/>
        <v>0</v>
      </c>
      <c r="L55" s="743">
        <f t="shared" si="12"/>
        <v>29000000</v>
      </c>
      <c r="M55" s="743">
        <f t="shared" si="12"/>
        <v>0</v>
      </c>
      <c r="N55" s="743">
        <f t="shared" si="12"/>
        <v>29000000</v>
      </c>
      <c r="O55" s="734"/>
    </row>
    <row r="56" spans="1:15" ht="47.25">
      <c r="A56" s="735" t="s">
        <v>335</v>
      </c>
      <c r="B56" s="744" t="s">
        <v>584</v>
      </c>
      <c r="C56" s="732"/>
      <c r="D56" s="736">
        <v>0</v>
      </c>
      <c r="E56" s="737"/>
      <c r="F56" s="738"/>
      <c r="G56" s="738"/>
      <c r="H56" s="738"/>
      <c r="I56" s="738"/>
      <c r="J56" s="738"/>
      <c r="K56" s="738"/>
      <c r="L56" s="739">
        <v>29000000</v>
      </c>
      <c r="M56" s="739"/>
      <c r="N56" s="740">
        <f>D56+L56-M56</f>
        <v>29000000</v>
      </c>
      <c r="O56" s="741"/>
    </row>
  </sheetData>
  <sheetProtection/>
  <mergeCells count="33">
    <mergeCell ref="A19:A20"/>
    <mergeCell ref="A22:A23"/>
    <mergeCell ref="O15:O16"/>
    <mergeCell ref="O33:O35"/>
    <mergeCell ref="O28:O31"/>
    <mergeCell ref="C4:C5"/>
    <mergeCell ref="L4:M4"/>
    <mergeCell ref="N4:N5"/>
    <mergeCell ref="O4:O5"/>
    <mergeCell ref="K4:K5"/>
    <mergeCell ref="A1:O1"/>
    <mergeCell ref="A2:O2"/>
    <mergeCell ref="A4:A5"/>
    <mergeCell ref="B4:B5"/>
    <mergeCell ref="D4:D5"/>
    <mergeCell ref="E4:G4"/>
    <mergeCell ref="H4:H5"/>
    <mergeCell ref="N3:O3"/>
    <mergeCell ref="I4:I5"/>
    <mergeCell ref="J4:J5"/>
    <mergeCell ref="O9:O10"/>
    <mergeCell ref="L19:L20"/>
    <mergeCell ref="O19:O20"/>
    <mergeCell ref="D22:D23"/>
    <mergeCell ref="N22:N23"/>
    <mergeCell ref="N19:N20"/>
    <mergeCell ref="O22:O23"/>
    <mergeCell ref="B22:B23"/>
    <mergeCell ref="B19:B20"/>
    <mergeCell ref="D19:D20"/>
    <mergeCell ref="C19:C20"/>
    <mergeCell ref="C22:C23"/>
    <mergeCell ref="M22:M23"/>
  </mergeCells>
  <printOptions/>
  <pageMargins left="0.590551181102362" right="0" top="0.748031496062992" bottom="0.748031496062992" header="0.31496062992126" footer="0.31496062992126"/>
  <pageSetup horizontalDpi="600" verticalDpi="600" orientation="landscape" paperSize="9" scale="73" r:id="rId1"/>
  <ignoredErrors>
    <ignoredError sqref="N54 N26 N32" formula="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W203"/>
  <sheetViews>
    <sheetView zoomScale="68" zoomScaleNormal="68" zoomScalePageLayoutView="0" workbookViewId="0" topLeftCell="A115">
      <selection activeCell="H136" sqref="H136"/>
    </sheetView>
  </sheetViews>
  <sheetFormatPr defaultColWidth="9.140625" defaultRowHeight="15"/>
  <cols>
    <col min="1" max="1" width="3.421875" style="0" customWidth="1"/>
    <col min="2" max="2" width="25.8515625" style="0" customWidth="1"/>
    <col min="3" max="3" width="5.7109375" style="423" customWidth="1"/>
    <col min="4" max="4" width="4.28125" style="423" customWidth="1"/>
    <col min="5" max="5" width="9.7109375" style="248" customWidth="1"/>
    <col min="6" max="7" width="9.140625" style="248" customWidth="1"/>
    <col min="8" max="8" width="7.28125" style="248" customWidth="1"/>
    <col min="9" max="9" width="6.421875" style="248" customWidth="1"/>
    <col min="10" max="10" width="7.8515625" style="248" customWidth="1"/>
    <col min="11" max="11" width="7.28125" style="248" customWidth="1"/>
    <col min="12" max="12" width="0" style="248" hidden="1" customWidth="1"/>
    <col min="13" max="13" width="6.421875" style="248" customWidth="1"/>
    <col min="14" max="14" width="0" style="248" hidden="1" customWidth="1"/>
    <col min="15" max="15" width="9.140625" style="248" customWidth="1"/>
    <col min="16" max="19" width="0" style="248" hidden="1" customWidth="1"/>
    <col min="20" max="24" width="9.140625" style="248" customWidth="1"/>
    <col min="25" max="25" width="21.8515625" style="248" customWidth="1"/>
    <col min="26" max="26" width="8.8515625" style="65" hidden="1" customWidth="1"/>
    <col min="27" max="27" width="10.00390625" style="66" hidden="1" customWidth="1"/>
    <col min="28" max="28" width="11.00390625" style="65" hidden="1" customWidth="1"/>
    <col min="29" max="29" width="9.57421875" style="65" hidden="1" customWidth="1"/>
    <col min="30" max="30" width="9.140625" style="65" hidden="1" customWidth="1"/>
    <col min="31" max="31" width="7.7109375" style="65" hidden="1" customWidth="1"/>
    <col min="32" max="32" width="6.8515625" style="65" hidden="1" customWidth="1"/>
    <col min="33" max="33" width="8.421875" style="65" hidden="1" customWidth="1"/>
    <col min="34" max="34" width="6.421875" style="65" hidden="1" customWidth="1"/>
    <col min="35" max="35" width="8.28125" style="65" hidden="1" customWidth="1"/>
    <col min="36" max="36" width="7.7109375" style="65" hidden="1" customWidth="1"/>
    <col min="37" max="37" width="8.00390625" style="65" hidden="1" customWidth="1"/>
    <col min="38" max="38" width="6.7109375" style="65" hidden="1" customWidth="1"/>
    <col min="39" max="39" width="6.57421875" style="65" hidden="1" customWidth="1"/>
    <col min="40" max="40" width="6.8515625" style="65" hidden="1" customWidth="1"/>
    <col min="41" max="42" width="9.140625" style="65" hidden="1" customWidth="1"/>
    <col min="43" max="43" width="7.8515625" style="65" hidden="1" customWidth="1"/>
    <col min="44" max="44" width="9.28125" style="65" hidden="1" customWidth="1"/>
    <col min="45" max="45" width="11.8515625" style="65" hidden="1" customWidth="1"/>
    <col min="46" max="46" width="19.00390625" style="88" hidden="1" customWidth="1"/>
    <col min="47" max="47" width="18.57421875" style="0" hidden="1" customWidth="1"/>
  </cols>
  <sheetData>
    <row r="1" spans="1:75" ht="15">
      <c r="A1" s="24" t="s">
        <v>1</v>
      </c>
      <c r="B1" s="25"/>
      <c r="C1" s="411"/>
      <c r="D1" s="411"/>
      <c r="E1" s="241"/>
      <c r="F1" s="242">
        <f>22+17+21+23+17+20+5+19+15</f>
        <v>159</v>
      </c>
      <c r="G1" s="240">
        <f>3.775*1.49*12</f>
        <v>67.497</v>
      </c>
      <c r="H1" s="240"/>
      <c r="I1" s="241"/>
      <c r="J1" s="240"/>
      <c r="K1" s="240"/>
      <c r="L1" s="240"/>
      <c r="M1" s="240"/>
      <c r="N1" s="240"/>
      <c r="O1" s="240"/>
      <c r="P1" s="240"/>
      <c r="Q1" s="240"/>
      <c r="R1" s="240"/>
      <c r="S1" s="242"/>
      <c r="T1" s="240"/>
      <c r="U1" s="240"/>
      <c r="V1" s="240"/>
      <c r="W1" s="240"/>
      <c r="X1" s="240"/>
      <c r="Y1" s="243"/>
      <c r="Z1" s="30"/>
      <c r="AA1" s="31"/>
      <c r="AB1" s="30"/>
      <c r="AC1" s="30"/>
      <c r="AD1" s="30"/>
      <c r="AE1" s="30"/>
      <c r="AF1" s="30"/>
      <c r="AG1" s="30"/>
      <c r="AH1" s="30"/>
      <c r="AI1" s="30"/>
      <c r="AJ1" s="30"/>
      <c r="AK1" s="30"/>
      <c r="AL1" s="30"/>
      <c r="AM1" s="30"/>
      <c r="AN1" s="30"/>
      <c r="AO1" s="30"/>
      <c r="AP1" s="30"/>
      <c r="AQ1" s="30"/>
      <c r="AR1" s="30"/>
      <c r="AS1" s="30" t="s">
        <v>223</v>
      </c>
      <c r="AT1" s="79"/>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row>
    <row r="2" spans="1:75" ht="15">
      <c r="A2" s="809" t="s">
        <v>221</v>
      </c>
      <c r="B2" s="809"/>
      <c r="C2" s="809"/>
      <c r="D2" s="809"/>
      <c r="E2" s="809"/>
      <c r="F2" s="809"/>
      <c r="G2" s="809"/>
      <c r="H2" s="809"/>
      <c r="I2" s="809"/>
      <c r="J2" s="809"/>
      <c r="K2" s="809"/>
      <c r="L2" s="809"/>
      <c r="M2" s="809"/>
      <c r="N2" s="809"/>
      <c r="O2" s="809"/>
      <c r="P2" s="809"/>
      <c r="Q2" s="809"/>
      <c r="R2" s="809"/>
      <c r="S2" s="809"/>
      <c r="T2" s="244"/>
      <c r="U2" s="244"/>
      <c r="V2" s="244"/>
      <c r="W2" s="244"/>
      <c r="X2" s="244"/>
      <c r="Y2" s="245"/>
      <c r="Z2" s="27"/>
      <c r="AA2" s="32"/>
      <c r="AB2" s="32"/>
      <c r="AC2" s="32"/>
      <c r="AD2" s="32"/>
      <c r="AE2" s="32"/>
      <c r="AF2" s="32"/>
      <c r="AG2" s="32"/>
      <c r="AH2" s="32"/>
      <c r="AI2" s="32"/>
      <c r="AJ2" s="32"/>
      <c r="AK2" s="32"/>
      <c r="AL2" s="32"/>
      <c r="AM2" s="32"/>
      <c r="AN2" s="32"/>
      <c r="AO2" s="32"/>
      <c r="AP2" s="32"/>
      <c r="AQ2" s="32"/>
      <c r="AR2" s="32"/>
      <c r="AS2" s="32"/>
      <c r="AT2" s="80"/>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row>
    <row r="3" spans="1:75" ht="15">
      <c r="A3" s="26"/>
      <c r="B3" s="25"/>
      <c r="C3" s="412"/>
      <c r="D3" s="412"/>
      <c r="E3" s="241"/>
      <c r="F3" s="242"/>
      <c r="G3" s="241"/>
      <c r="H3" s="241"/>
      <c r="I3" s="241"/>
      <c r="J3" s="241"/>
      <c r="K3" s="241"/>
      <c r="L3" s="241"/>
      <c r="M3" s="241"/>
      <c r="N3" s="241"/>
      <c r="O3" s="241"/>
      <c r="P3" s="241"/>
      <c r="Q3" s="241"/>
      <c r="R3" s="241"/>
      <c r="S3" s="241"/>
      <c r="T3" s="241"/>
      <c r="U3" s="241"/>
      <c r="V3" s="241"/>
      <c r="W3" s="241"/>
      <c r="X3" s="241"/>
      <c r="Y3" s="246"/>
      <c r="Z3" s="35"/>
      <c r="AA3" s="31"/>
      <c r="AB3" s="35"/>
      <c r="AC3" s="35"/>
      <c r="AD3" s="35"/>
      <c r="AE3" s="35"/>
      <c r="AF3" s="35"/>
      <c r="AG3" s="35"/>
      <c r="AH3" s="35"/>
      <c r="AI3" s="35"/>
      <c r="AJ3" s="35"/>
      <c r="AK3" s="35"/>
      <c r="AL3" s="35"/>
      <c r="AM3" s="35"/>
      <c r="AN3" s="35"/>
      <c r="AO3" s="35"/>
      <c r="AP3" s="35"/>
      <c r="AQ3" s="35"/>
      <c r="AR3" s="35"/>
      <c r="AS3" s="35"/>
      <c r="AT3" s="81"/>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row>
    <row r="4" spans="1:75" ht="15">
      <c r="A4" s="809" t="s">
        <v>220</v>
      </c>
      <c r="B4" s="809"/>
      <c r="C4" s="809"/>
      <c r="D4" s="809"/>
      <c r="E4" s="809"/>
      <c r="F4" s="809"/>
      <c r="G4" s="809"/>
      <c r="H4" s="809"/>
      <c r="I4" s="809"/>
      <c r="J4" s="809"/>
      <c r="K4" s="809"/>
      <c r="L4" s="809"/>
      <c r="M4" s="809"/>
      <c r="N4" s="809"/>
      <c r="O4" s="809"/>
      <c r="P4" s="809"/>
      <c r="Q4" s="809"/>
      <c r="R4" s="809"/>
      <c r="S4" s="810"/>
      <c r="T4" s="809"/>
      <c r="U4" s="809"/>
      <c r="V4" s="809"/>
      <c r="W4" s="809"/>
      <c r="X4" s="809"/>
      <c r="Y4" s="809"/>
      <c r="Z4" s="809"/>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row>
    <row r="5" spans="1:75" ht="15">
      <c r="A5" s="811"/>
      <c r="B5" s="811"/>
      <c r="C5" s="811"/>
      <c r="D5" s="811"/>
      <c r="E5" s="811"/>
      <c r="F5" s="811"/>
      <c r="G5" s="811"/>
      <c r="H5" s="811"/>
      <c r="I5" s="811"/>
      <c r="J5" s="811"/>
      <c r="K5" s="811"/>
      <c r="L5" s="811"/>
      <c r="M5" s="811"/>
      <c r="N5" s="811"/>
      <c r="O5" s="811"/>
      <c r="P5" s="811"/>
      <c r="Q5" s="811"/>
      <c r="R5" s="811"/>
      <c r="S5" s="812"/>
      <c r="T5" s="811"/>
      <c r="U5" s="811"/>
      <c r="V5" s="811"/>
      <c r="W5" s="811"/>
      <c r="X5" s="811"/>
      <c r="Y5" s="811"/>
      <c r="Z5" s="811"/>
      <c r="AA5" s="27"/>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row>
    <row r="6" spans="1:75" ht="15">
      <c r="A6" s="26"/>
      <c r="B6" s="25"/>
      <c r="C6" s="412"/>
      <c r="D6" s="412"/>
      <c r="E6" s="241"/>
      <c r="F6" s="242"/>
      <c r="G6" s="241"/>
      <c r="H6" s="241"/>
      <c r="I6" s="241"/>
      <c r="J6" s="241"/>
      <c r="K6" s="241"/>
      <c r="L6" s="241"/>
      <c r="M6" s="241"/>
      <c r="N6" s="241"/>
      <c r="O6" s="241"/>
      <c r="P6" s="241"/>
      <c r="Q6" s="241"/>
      <c r="R6" s="241"/>
      <c r="S6" s="242"/>
      <c r="T6" s="241"/>
      <c r="U6" s="241"/>
      <c r="V6" s="241"/>
      <c r="W6" s="241"/>
      <c r="X6" s="241"/>
      <c r="Y6" s="246"/>
      <c r="Z6" s="35"/>
      <c r="AA6" s="31"/>
      <c r="AB6" s="35"/>
      <c r="AC6" s="35"/>
      <c r="AD6" s="35"/>
      <c r="AE6" s="35"/>
      <c r="AF6" s="35"/>
      <c r="AG6" s="35"/>
      <c r="AH6" s="35"/>
      <c r="AI6" s="35"/>
      <c r="AJ6" s="35"/>
      <c r="AK6" s="35"/>
      <c r="AL6" s="35"/>
      <c r="AM6" s="35"/>
      <c r="AN6" s="35"/>
      <c r="AO6" s="35"/>
      <c r="AP6" s="35"/>
      <c r="AQ6" s="35"/>
      <c r="AR6" s="35"/>
      <c r="AS6" s="35"/>
      <c r="AT6" s="81"/>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row>
    <row r="7" spans="1:75" ht="15.75">
      <c r="A7" s="813" t="s">
        <v>0</v>
      </c>
      <c r="B7" s="813" t="s">
        <v>219</v>
      </c>
      <c r="C7" s="787" t="s">
        <v>218</v>
      </c>
      <c r="D7" s="787" t="s">
        <v>217</v>
      </c>
      <c r="E7" s="790" t="s">
        <v>216</v>
      </c>
      <c r="F7" s="791"/>
      <c r="G7" s="791"/>
      <c r="H7" s="791"/>
      <c r="I7" s="791"/>
      <c r="J7" s="791"/>
      <c r="K7" s="791"/>
      <c r="L7" s="791"/>
      <c r="M7" s="791"/>
      <c r="N7" s="791"/>
      <c r="O7" s="791"/>
      <c r="P7" s="791"/>
      <c r="Q7" s="791"/>
      <c r="R7" s="791"/>
      <c r="S7" s="792"/>
      <c r="T7" s="791"/>
      <c r="U7" s="791"/>
      <c r="V7" s="791"/>
      <c r="W7" s="791"/>
      <c r="X7" s="793"/>
      <c r="Y7" s="801" t="s">
        <v>215</v>
      </c>
      <c r="Z7" s="804" t="s">
        <v>226</v>
      </c>
      <c r="AA7" s="807" t="s">
        <v>227</v>
      </c>
      <c r="AB7" s="807"/>
      <c r="AC7" s="807"/>
      <c r="AD7" s="807"/>
      <c r="AE7" s="807"/>
      <c r="AF7" s="807"/>
      <c r="AG7" s="807"/>
      <c r="AH7" s="807"/>
      <c r="AI7" s="807"/>
      <c r="AJ7" s="807"/>
      <c r="AK7" s="807"/>
      <c r="AL7" s="807"/>
      <c r="AM7" s="807"/>
      <c r="AN7" s="807"/>
      <c r="AO7" s="807"/>
      <c r="AP7" s="807"/>
      <c r="AQ7" s="807"/>
      <c r="AR7" s="807"/>
      <c r="AS7" s="808"/>
      <c r="AT7" s="780" t="s">
        <v>222</v>
      </c>
      <c r="AU7" s="777" t="s">
        <v>291</v>
      </c>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row>
    <row r="8" spans="1:75" ht="15.75">
      <c r="A8" s="814"/>
      <c r="B8" s="814"/>
      <c r="C8" s="788"/>
      <c r="D8" s="788"/>
      <c r="E8" s="794" t="s">
        <v>16</v>
      </c>
      <c r="F8" s="796" t="s">
        <v>214</v>
      </c>
      <c r="G8" s="795" t="s">
        <v>213</v>
      </c>
      <c r="H8" s="799" t="s">
        <v>12</v>
      </c>
      <c r="I8" s="799"/>
      <c r="J8" s="799"/>
      <c r="K8" s="799"/>
      <c r="L8" s="799"/>
      <c r="M8" s="799"/>
      <c r="N8" s="799"/>
      <c r="O8" s="799"/>
      <c r="P8" s="799"/>
      <c r="Q8" s="799"/>
      <c r="R8" s="799"/>
      <c r="S8" s="800"/>
      <c r="T8" s="799"/>
      <c r="U8" s="799"/>
      <c r="V8" s="799"/>
      <c r="W8" s="799"/>
      <c r="X8" s="799"/>
      <c r="Y8" s="802"/>
      <c r="Z8" s="805"/>
      <c r="AA8" s="781" t="s">
        <v>16</v>
      </c>
      <c r="AB8" s="783" t="s">
        <v>214</v>
      </c>
      <c r="AC8" s="783" t="s">
        <v>213</v>
      </c>
      <c r="AD8" s="785" t="s">
        <v>12</v>
      </c>
      <c r="AE8" s="786"/>
      <c r="AF8" s="786"/>
      <c r="AG8" s="786"/>
      <c r="AH8" s="786"/>
      <c r="AI8" s="786"/>
      <c r="AJ8" s="786"/>
      <c r="AK8" s="786"/>
      <c r="AL8" s="786"/>
      <c r="AM8" s="786"/>
      <c r="AN8" s="786"/>
      <c r="AO8" s="786"/>
      <c r="AP8" s="786"/>
      <c r="AQ8" s="786"/>
      <c r="AR8" s="786"/>
      <c r="AS8" s="806" t="s">
        <v>196</v>
      </c>
      <c r="AT8" s="780"/>
      <c r="AU8" s="778"/>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row>
    <row r="9" spans="1:75" ht="110.25">
      <c r="A9" s="815"/>
      <c r="B9" s="815"/>
      <c r="C9" s="789"/>
      <c r="D9" s="789"/>
      <c r="E9" s="795"/>
      <c r="F9" s="797"/>
      <c r="G9" s="798"/>
      <c r="H9" s="249" t="s">
        <v>212</v>
      </c>
      <c r="I9" s="249" t="s">
        <v>211</v>
      </c>
      <c r="J9" s="249" t="s">
        <v>210</v>
      </c>
      <c r="K9" s="249" t="s">
        <v>209</v>
      </c>
      <c r="L9" s="249" t="s">
        <v>208</v>
      </c>
      <c r="M9" s="249" t="s">
        <v>207</v>
      </c>
      <c r="N9" s="249" t="s">
        <v>206</v>
      </c>
      <c r="O9" s="249" t="s">
        <v>205</v>
      </c>
      <c r="P9" s="249" t="s">
        <v>204</v>
      </c>
      <c r="Q9" s="249" t="s">
        <v>203</v>
      </c>
      <c r="R9" s="249" t="s">
        <v>202</v>
      </c>
      <c r="S9" s="250" t="s">
        <v>201</v>
      </c>
      <c r="T9" s="249" t="s">
        <v>200</v>
      </c>
      <c r="U9" s="249" t="s">
        <v>199</v>
      </c>
      <c r="V9" s="249" t="s">
        <v>198</v>
      </c>
      <c r="W9" s="249" t="s">
        <v>197</v>
      </c>
      <c r="X9" s="249" t="s">
        <v>196</v>
      </c>
      <c r="Y9" s="803"/>
      <c r="Z9" s="783"/>
      <c r="AA9" s="782"/>
      <c r="AB9" s="784"/>
      <c r="AC9" s="784"/>
      <c r="AD9" s="251" t="s">
        <v>212</v>
      </c>
      <c r="AE9" s="251" t="s">
        <v>228</v>
      </c>
      <c r="AF9" s="251" t="s">
        <v>210</v>
      </c>
      <c r="AG9" s="251" t="s">
        <v>209</v>
      </c>
      <c r="AH9" s="251" t="s">
        <v>208</v>
      </c>
      <c r="AI9" s="251" t="s">
        <v>207</v>
      </c>
      <c r="AJ9" s="251" t="s">
        <v>206</v>
      </c>
      <c r="AK9" s="251" t="s">
        <v>205</v>
      </c>
      <c r="AL9" s="251" t="s">
        <v>204</v>
      </c>
      <c r="AM9" s="251" t="s">
        <v>203</v>
      </c>
      <c r="AN9" s="251" t="s">
        <v>202</v>
      </c>
      <c r="AO9" s="251" t="s">
        <v>201</v>
      </c>
      <c r="AP9" s="251" t="s">
        <v>200</v>
      </c>
      <c r="AQ9" s="251" t="s">
        <v>229</v>
      </c>
      <c r="AR9" s="252" t="s">
        <v>197</v>
      </c>
      <c r="AS9" s="806"/>
      <c r="AT9" s="780"/>
      <c r="AU9" s="779"/>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row>
    <row r="10" spans="1:75" ht="47.25">
      <c r="A10" s="253">
        <v>1</v>
      </c>
      <c r="B10" s="254" t="s">
        <v>195</v>
      </c>
      <c r="C10" s="413" t="s">
        <v>194</v>
      </c>
      <c r="D10" s="413" t="s">
        <v>193</v>
      </c>
      <c r="E10" s="255" t="s">
        <v>192</v>
      </c>
      <c r="F10" s="256" t="s">
        <v>191</v>
      </c>
      <c r="G10" s="255" t="s">
        <v>190</v>
      </c>
      <c r="H10" s="255" t="s">
        <v>189</v>
      </c>
      <c r="I10" s="255" t="s">
        <v>188</v>
      </c>
      <c r="J10" s="255" t="s">
        <v>187</v>
      </c>
      <c r="K10" s="255" t="s">
        <v>186</v>
      </c>
      <c r="L10" s="255" t="s">
        <v>185</v>
      </c>
      <c r="M10" s="255" t="s">
        <v>184</v>
      </c>
      <c r="N10" s="255" t="s">
        <v>183</v>
      </c>
      <c r="O10" s="255" t="s">
        <v>182</v>
      </c>
      <c r="P10" s="255" t="s">
        <v>181</v>
      </c>
      <c r="Q10" s="255" t="s">
        <v>180</v>
      </c>
      <c r="R10" s="255" t="s">
        <v>179</v>
      </c>
      <c r="S10" s="257" t="s">
        <v>178</v>
      </c>
      <c r="T10" s="255" t="s">
        <v>177</v>
      </c>
      <c r="U10" s="255" t="s">
        <v>176</v>
      </c>
      <c r="V10" s="255"/>
      <c r="W10" s="255" t="s">
        <v>175</v>
      </c>
      <c r="X10" s="255" t="s">
        <v>174</v>
      </c>
      <c r="Y10" s="258" t="s">
        <v>173</v>
      </c>
      <c r="Z10" s="259" t="s">
        <v>194</v>
      </c>
      <c r="AA10" s="260">
        <v>4</v>
      </c>
      <c r="AB10" s="259">
        <v>5</v>
      </c>
      <c r="AC10" s="259">
        <v>6</v>
      </c>
      <c r="AD10" s="259">
        <v>7</v>
      </c>
      <c r="AE10" s="259">
        <v>8</v>
      </c>
      <c r="AF10" s="259">
        <v>9</v>
      </c>
      <c r="AG10" s="259">
        <v>10</v>
      </c>
      <c r="AH10" s="259">
        <v>11</v>
      </c>
      <c r="AI10" s="259">
        <v>12</v>
      </c>
      <c r="AJ10" s="259">
        <v>13</v>
      </c>
      <c r="AK10" s="259">
        <v>14</v>
      </c>
      <c r="AL10" s="259">
        <v>15</v>
      </c>
      <c r="AM10" s="259">
        <v>16</v>
      </c>
      <c r="AN10" s="259">
        <v>17</v>
      </c>
      <c r="AO10" s="259">
        <v>18</v>
      </c>
      <c r="AP10" s="259">
        <v>19</v>
      </c>
      <c r="AQ10" s="259">
        <v>20</v>
      </c>
      <c r="AR10" s="259">
        <v>21</v>
      </c>
      <c r="AS10" s="424">
        <v>22</v>
      </c>
      <c r="AT10" s="450" t="s">
        <v>230</v>
      </c>
      <c r="AU10" s="18"/>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row>
    <row r="11" spans="1:75" ht="15.75">
      <c r="A11" s="261"/>
      <c r="B11" s="261" t="s">
        <v>172</v>
      </c>
      <c r="C11" s="414"/>
      <c r="D11" s="414"/>
      <c r="E11" s="262"/>
      <c r="F11" s="262"/>
      <c r="G11" s="262"/>
      <c r="H11" s="262"/>
      <c r="I11" s="262"/>
      <c r="J11" s="262"/>
      <c r="K11" s="262"/>
      <c r="L11" s="262"/>
      <c r="M11" s="262"/>
      <c r="N11" s="262"/>
      <c r="O11" s="262"/>
      <c r="P11" s="262"/>
      <c r="Q11" s="262"/>
      <c r="R11" s="262"/>
      <c r="S11" s="262"/>
      <c r="T11" s="262"/>
      <c r="U11" s="262"/>
      <c r="V11" s="262"/>
      <c r="W11" s="262"/>
      <c r="X11" s="262"/>
      <c r="Y11" s="263"/>
      <c r="Z11" s="264"/>
      <c r="AA11" s="264"/>
      <c r="AB11" s="264"/>
      <c r="AC11" s="264"/>
      <c r="AD11" s="264"/>
      <c r="AE11" s="264"/>
      <c r="AF11" s="264"/>
      <c r="AG11" s="264"/>
      <c r="AH11" s="264"/>
      <c r="AI11" s="264"/>
      <c r="AJ11" s="264"/>
      <c r="AK11" s="264"/>
      <c r="AL11" s="264"/>
      <c r="AM11" s="264"/>
      <c r="AN11" s="264"/>
      <c r="AO11" s="264"/>
      <c r="AP11" s="264"/>
      <c r="AQ11" s="264"/>
      <c r="AR11" s="264"/>
      <c r="AS11" s="425"/>
      <c r="AT11" s="451"/>
      <c r="AU11" s="19"/>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row>
    <row r="12" spans="1:75" ht="31.5">
      <c r="A12" s="265" t="s">
        <v>4</v>
      </c>
      <c r="B12" s="266" t="s">
        <v>171</v>
      </c>
      <c r="C12" s="414"/>
      <c r="D12" s="414"/>
      <c r="E12" s="262"/>
      <c r="F12" s="262"/>
      <c r="G12" s="262"/>
      <c r="H12" s="262"/>
      <c r="I12" s="262"/>
      <c r="J12" s="262"/>
      <c r="K12" s="262"/>
      <c r="L12" s="262"/>
      <c r="M12" s="262"/>
      <c r="N12" s="262"/>
      <c r="O12" s="262"/>
      <c r="P12" s="262"/>
      <c r="Q12" s="262"/>
      <c r="R12" s="262"/>
      <c r="S12" s="262"/>
      <c r="T12" s="262"/>
      <c r="U12" s="262"/>
      <c r="V12" s="262"/>
      <c r="W12" s="262"/>
      <c r="X12" s="262"/>
      <c r="Y12" s="262"/>
      <c r="Z12" s="264"/>
      <c r="AA12" s="264"/>
      <c r="AB12" s="264"/>
      <c r="AC12" s="264"/>
      <c r="AD12" s="264"/>
      <c r="AE12" s="264"/>
      <c r="AF12" s="264"/>
      <c r="AG12" s="264"/>
      <c r="AH12" s="264"/>
      <c r="AI12" s="264"/>
      <c r="AJ12" s="264"/>
      <c r="AK12" s="264"/>
      <c r="AL12" s="264"/>
      <c r="AM12" s="264"/>
      <c r="AN12" s="264"/>
      <c r="AO12" s="264"/>
      <c r="AP12" s="264"/>
      <c r="AQ12" s="264"/>
      <c r="AR12" s="264"/>
      <c r="AS12" s="425"/>
      <c r="AT12" s="451">
        <f>AT13+AT22+AT30+AT38+AT93</f>
        <v>13044538336.5</v>
      </c>
      <c r="AU12" s="19"/>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row>
    <row r="13" spans="1:75" ht="47.25">
      <c r="A13" s="267">
        <v>5</v>
      </c>
      <c r="B13" s="268" t="s">
        <v>170</v>
      </c>
      <c r="C13" s="415">
        <v>6</v>
      </c>
      <c r="D13" s="415">
        <v>5</v>
      </c>
      <c r="E13" s="269">
        <f aca="true" t="shared" si="0" ref="E13:X13">SUM(E14:E19)</f>
        <v>30.89515</v>
      </c>
      <c r="F13" s="269">
        <f t="shared" si="0"/>
        <v>15.85</v>
      </c>
      <c r="G13" s="269">
        <f t="shared" si="0"/>
        <v>11.3204</v>
      </c>
      <c r="H13" s="269">
        <f t="shared" si="0"/>
        <v>4.2</v>
      </c>
      <c r="I13" s="269">
        <f t="shared" si="0"/>
        <v>0</v>
      </c>
      <c r="J13" s="269">
        <f t="shared" si="0"/>
        <v>0.24359999999999996</v>
      </c>
      <c r="K13" s="269">
        <f t="shared" si="0"/>
        <v>6.876799999999999</v>
      </c>
      <c r="L13" s="269">
        <f t="shared" si="0"/>
        <v>0</v>
      </c>
      <c r="M13" s="269">
        <f t="shared" si="0"/>
        <v>0</v>
      </c>
      <c r="N13" s="269">
        <f t="shared" si="0"/>
        <v>0</v>
      </c>
      <c r="O13" s="269">
        <f t="shared" si="0"/>
        <v>0</v>
      </c>
      <c r="P13" s="269">
        <f t="shared" si="0"/>
        <v>0</v>
      </c>
      <c r="Q13" s="269">
        <f t="shared" si="0"/>
        <v>0</v>
      </c>
      <c r="R13" s="269">
        <f t="shared" si="0"/>
        <v>0</v>
      </c>
      <c r="S13" s="269">
        <f t="shared" si="0"/>
        <v>0</v>
      </c>
      <c r="T13" s="269">
        <f t="shared" si="0"/>
        <v>0</v>
      </c>
      <c r="U13" s="269">
        <f t="shared" si="0"/>
        <v>0</v>
      </c>
      <c r="V13" s="269">
        <f t="shared" si="0"/>
        <v>0</v>
      </c>
      <c r="W13" s="269">
        <f t="shared" si="0"/>
        <v>0</v>
      </c>
      <c r="X13" s="269">
        <f t="shared" si="0"/>
        <v>3.72475</v>
      </c>
      <c r="Y13" s="270">
        <f>ROUNDUP(SUM(Y14:Y19),-3)</f>
        <v>552406000</v>
      </c>
      <c r="Z13" s="271">
        <f>+Z19</f>
        <v>0</v>
      </c>
      <c r="AA13" s="271">
        <f>SUM(AA15:AA21)</f>
        <v>38.2512</v>
      </c>
      <c r="AB13" s="271">
        <f aca="true" t="shared" si="1" ref="AB13:AT13">SUM(AB15:AB21)</f>
        <v>19.81</v>
      </c>
      <c r="AC13" s="271">
        <f t="shared" si="1"/>
        <v>13.7036</v>
      </c>
      <c r="AD13" s="271">
        <f t="shared" si="1"/>
        <v>4.2</v>
      </c>
      <c r="AE13" s="271">
        <f t="shared" si="1"/>
        <v>0.35</v>
      </c>
      <c r="AF13" s="271">
        <f t="shared" si="1"/>
        <v>0</v>
      </c>
      <c r="AG13" s="271">
        <f t="shared" si="1"/>
        <v>8.909999999999998</v>
      </c>
      <c r="AH13" s="271">
        <f t="shared" si="1"/>
        <v>0</v>
      </c>
      <c r="AI13" s="271">
        <f t="shared" si="1"/>
        <v>0.24359999999999996</v>
      </c>
      <c r="AJ13" s="271">
        <f t="shared" si="1"/>
        <v>0</v>
      </c>
      <c r="AK13" s="271">
        <f t="shared" si="1"/>
        <v>0</v>
      </c>
      <c r="AL13" s="271">
        <f t="shared" si="1"/>
        <v>0</v>
      </c>
      <c r="AM13" s="271">
        <f t="shared" si="1"/>
        <v>0</v>
      </c>
      <c r="AN13" s="271">
        <f t="shared" si="1"/>
        <v>0</v>
      </c>
      <c r="AO13" s="271">
        <f t="shared" si="1"/>
        <v>0</v>
      </c>
      <c r="AP13" s="271">
        <f t="shared" si="1"/>
        <v>0</v>
      </c>
      <c r="AQ13" s="271">
        <f t="shared" si="1"/>
        <v>0</v>
      </c>
      <c r="AR13" s="271">
        <f t="shared" si="1"/>
        <v>0</v>
      </c>
      <c r="AS13" s="426">
        <f t="shared" si="1"/>
        <v>4.7376</v>
      </c>
      <c r="AT13" s="379">
        <f t="shared" si="1"/>
        <v>594752497.5</v>
      </c>
      <c r="AU13" s="21"/>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row>
    <row r="14" spans="1:75" ht="15.75">
      <c r="A14" s="272">
        <v>1</v>
      </c>
      <c r="B14" s="273" t="s">
        <v>169</v>
      </c>
      <c r="C14" s="415"/>
      <c r="D14" s="415"/>
      <c r="E14" s="274">
        <f aca="true" t="shared" si="2" ref="E14:E19">F14+G14+X14</f>
        <v>8.109499999999999</v>
      </c>
      <c r="F14" s="275">
        <v>4.06</v>
      </c>
      <c r="G14" s="274">
        <f aca="true" t="shared" si="3" ref="G14:G19">H14+I14+J14+K14+L14+M14+N14+O14+P14+Q14+R14+S14+T14+U14+W14</f>
        <v>3.0953999999999997</v>
      </c>
      <c r="H14" s="274">
        <v>0.7</v>
      </c>
      <c r="I14" s="274"/>
      <c r="J14" s="274">
        <f>0.06*F14</f>
        <v>0.24359999999999996</v>
      </c>
      <c r="K14" s="274">
        <f>(F14+I14+J14)*0.5</f>
        <v>2.1517999999999997</v>
      </c>
      <c r="L14" s="269"/>
      <c r="M14" s="269"/>
      <c r="N14" s="269"/>
      <c r="O14" s="269"/>
      <c r="P14" s="269"/>
      <c r="Q14" s="269"/>
      <c r="R14" s="269"/>
      <c r="S14" s="276"/>
      <c r="T14" s="269"/>
      <c r="U14" s="269"/>
      <c r="V14" s="269"/>
      <c r="W14" s="269"/>
      <c r="X14" s="274">
        <f aca="true" t="shared" si="4" ref="X14:X19">(F14+I14)*23.5%</f>
        <v>0.9540999999999998</v>
      </c>
      <c r="Y14" s="277">
        <f aca="true" t="shared" si="5" ref="Y14:Y19">ROUNDUP(E14*1490000*12,0)</f>
        <v>144997860</v>
      </c>
      <c r="Z14" s="278">
        <v>6</v>
      </c>
      <c r="AA14" s="278">
        <f>SUM(AA15:AA21)</f>
        <v>38.2512</v>
      </c>
      <c r="AB14" s="278">
        <f>SUM(AB15:AB21)</f>
        <v>19.81</v>
      </c>
      <c r="AC14" s="278">
        <f>SUM(AC15:AC21)</f>
        <v>13.7036</v>
      </c>
      <c r="AD14" s="278">
        <f>SUM(AD15:AD21)</f>
        <v>4.2</v>
      </c>
      <c r="AE14" s="278">
        <f>SUM(AE15:AE21)</f>
        <v>0.35</v>
      </c>
      <c r="AF14" s="278">
        <f aca="true" t="shared" si="6" ref="AF14:AR14">SUM(AF15:AF21)</f>
        <v>0</v>
      </c>
      <c r="AG14" s="278">
        <f>SUM(AG15:AG21)</f>
        <v>8.909999999999998</v>
      </c>
      <c r="AH14" s="278">
        <f t="shared" si="6"/>
        <v>0</v>
      </c>
      <c r="AI14" s="278">
        <f>SUM(AI15:AI21)</f>
        <v>0.24359999999999996</v>
      </c>
      <c r="AJ14" s="278">
        <f t="shared" si="6"/>
        <v>0</v>
      </c>
      <c r="AK14" s="278">
        <f t="shared" si="6"/>
        <v>0</v>
      </c>
      <c r="AL14" s="278">
        <f t="shared" si="6"/>
        <v>0</v>
      </c>
      <c r="AM14" s="278">
        <f t="shared" si="6"/>
        <v>0</v>
      </c>
      <c r="AN14" s="278">
        <f t="shared" si="6"/>
        <v>0</v>
      </c>
      <c r="AO14" s="278">
        <f t="shared" si="6"/>
        <v>0</v>
      </c>
      <c r="AP14" s="278">
        <f t="shared" si="6"/>
        <v>0</v>
      </c>
      <c r="AQ14" s="278">
        <f t="shared" si="6"/>
        <v>0</v>
      </c>
      <c r="AR14" s="278">
        <f t="shared" si="6"/>
        <v>0</v>
      </c>
      <c r="AS14" s="427">
        <f>SUM(AS15:AS21)</f>
        <v>4.7376</v>
      </c>
      <c r="AT14" s="378">
        <f>SUM(AT15:AT21)</f>
        <v>594752497.5</v>
      </c>
      <c r="AU14" s="19"/>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row>
    <row r="15" spans="1:75" ht="15.75">
      <c r="A15" s="272">
        <v>2</v>
      </c>
      <c r="B15" s="273" t="s">
        <v>168</v>
      </c>
      <c r="C15" s="415"/>
      <c r="D15" s="415"/>
      <c r="E15" s="274">
        <f t="shared" si="2"/>
        <v>4.7599</v>
      </c>
      <c r="F15" s="275">
        <v>2.34</v>
      </c>
      <c r="G15" s="274">
        <f t="shared" si="3"/>
        <v>1.8699999999999999</v>
      </c>
      <c r="H15" s="274">
        <v>0.7</v>
      </c>
      <c r="I15" s="274"/>
      <c r="J15" s="274"/>
      <c r="K15" s="274">
        <f>(F15+I15+J15)*0.5</f>
        <v>1.17</v>
      </c>
      <c r="L15" s="269"/>
      <c r="M15" s="269"/>
      <c r="N15" s="269"/>
      <c r="O15" s="269"/>
      <c r="P15" s="269"/>
      <c r="Q15" s="269"/>
      <c r="R15" s="269"/>
      <c r="S15" s="276"/>
      <c r="T15" s="269"/>
      <c r="U15" s="269"/>
      <c r="V15" s="269"/>
      <c r="W15" s="269"/>
      <c r="X15" s="274">
        <f t="shared" si="4"/>
        <v>0.5498999999999999</v>
      </c>
      <c r="Y15" s="277">
        <f t="shared" si="5"/>
        <v>85107012</v>
      </c>
      <c r="Z15" s="279"/>
      <c r="AA15" s="280">
        <f aca="true" t="shared" si="7" ref="AA15:AA21">AB15+AC15+AS15</f>
        <v>7.9876999999999985</v>
      </c>
      <c r="AB15" s="68">
        <v>4.06</v>
      </c>
      <c r="AC15" s="279">
        <f>SUM(AD15:AR15)</f>
        <v>2.9735999999999994</v>
      </c>
      <c r="AD15" s="281">
        <v>0.7</v>
      </c>
      <c r="AE15" s="279"/>
      <c r="AF15" s="279"/>
      <c r="AG15" s="282">
        <f>(AB15+AE15)*50%</f>
        <v>2.03</v>
      </c>
      <c r="AH15" s="279"/>
      <c r="AI15" s="72">
        <f>AB15*6%</f>
        <v>0.24359999999999996</v>
      </c>
      <c r="AJ15" s="279"/>
      <c r="AK15" s="279"/>
      <c r="AL15" s="279"/>
      <c r="AM15" s="279"/>
      <c r="AN15" s="279"/>
      <c r="AO15" s="279"/>
      <c r="AP15" s="279"/>
      <c r="AQ15" s="279"/>
      <c r="AR15" s="279"/>
      <c r="AS15" s="428">
        <f>(AB15+AE15)*23.5%</f>
        <v>0.9540999999999998</v>
      </c>
      <c r="AT15" s="284">
        <f>(AA15*9*1490000)+(8.41*1490000*3)</f>
        <v>144707757</v>
      </c>
      <c r="AU15" s="19"/>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row>
    <row r="16" spans="1:75" ht="15.75">
      <c r="A16" s="272">
        <v>3</v>
      </c>
      <c r="B16" s="273" t="s">
        <v>167</v>
      </c>
      <c r="C16" s="415"/>
      <c r="D16" s="415"/>
      <c r="E16" s="274">
        <f t="shared" si="2"/>
        <v>5.33245</v>
      </c>
      <c r="F16" s="275">
        <v>2.67</v>
      </c>
      <c r="G16" s="274">
        <f t="shared" si="3"/>
        <v>2.035</v>
      </c>
      <c r="H16" s="274">
        <v>0.7</v>
      </c>
      <c r="I16" s="274"/>
      <c r="J16" s="274"/>
      <c r="K16" s="274">
        <f>(F16+I16+J16)*0.5</f>
        <v>1.335</v>
      </c>
      <c r="L16" s="269"/>
      <c r="M16" s="269"/>
      <c r="N16" s="269"/>
      <c r="O16" s="269"/>
      <c r="P16" s="269"/>
      <c r="Q16" s="269"/>
      <c r="R16" s="269"/>
      <c r="S16" s="276"/>
      <c r="T16" s="269"/>
      <c r="U16" s="269"/>
      <c r="V16" s="269"/>
      <c r="W16" s="269"/>
      <c r="X16" s="274">
        <f t="shared" si="4"/>
        <v>0.62745</v>
      </c>
      <c r="Y16" s="277">
        <f t="shared" si="5"/>
        <v>95344206</v>
      </c>
      <c r="Z16" s="279"/>
      <c r="AA16" s="280">
        <f t="shared" si="7"/>
        <v>4.7599</v>
      </c>
      <c r="AB16" s="75">
        <v>2.34</v>
      </c>
      <c r="AC16" s="279">
        <f aca="true" t="shared" si="8" ref="AC16:AC21">SUM(AD16:AR16)</f>
        <v>1.8699999999999999</v>
      </c>
      <c r="AD16" s="281">
        <v>0.7</v>
      </c>
      <c r="AE16" s="279"/>
      <c r="AF16" s="279"/>
      <c r="AG16" s="282">
        <f aca="true" t="shared" si="9" ref="AG16:AG21">(AB16+AE16)*50%</f>
        <v>1.17</v>
      </c>
      <c r="AH16" s="279"/>
      <c r="AI16" s="279"/>
      <c r="AJ16" s="279"/>
      <c r="AK16" s="279"/>
      <c r="AL16" s="279"/>
      <c r="AM16" s="279"/>
      <c r="AN16" s="279"/>
      <c r="AO16" s="279"/>
      <c r="AP16" s="279"/>
      <c r="AQ16" s="279"/>
      <c r="AR16" s="279"/>
      <c r="AS16" s="428">
        <f aca="true" t="shared" si="10" ref="AS16:AS21">(AB16+AE16)*23.5%</f>
        <v>0.5498999999999999</v>
      </c>
      <c r="AT16" s="284">
        <f>AA16*12*1490000</f>
        <v>85107012</v>
      </c>
      <c r="AU16" s="19"/>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row>
    <row r="17" spans="1:75" ht="15.75">
      <c r="A17" s="272">
        <v>4</v>
      </c>
      <c r="B17" s="273" t="s">
        <v>166</v>
      </c>
      <c r="C17" s="415"/>
      <c r="D17" s="415"/>
      <c r="E17" s="274">
        <f t="shared" si="2"/>
        <v>4.7599</v>
      </c>
      <c r="F17" s="275">
        <v>2.34</v>
      </c>
      <c r="G17" s="274">
        <f t="shared" si="3"/>
        <v>1.8699999999999999</v>
      </c>
      <c r="H17" s="274">
        <v>0.7</v>
      </c>
      <c r="I17" s="274"/>
      <c r="J17" s="274"/>
      <c r="K17" s="274">
        <f>(F17+I17+J17)*0.5</f>
        <v>1.17</v>
      </c>
      <c r="L17" s="269"/>
      <c r="M17" s="269"/>
      <c r="N17" s="269"/>
      <c r="O17" s="269"/>
      <c r="P17" s="269"/>
      <c r="Q17" s="269"/>
      <c r="R17" s="269"/>
      <c r="S17" s="276"/>
      <c r="T17" s="269"/>
      <c r="U17" s="269"/>
      <c r="V17" s="269"/>
      <c r="W17" s="269"/>
      <c r="X17" s="274">
        <f t="shared" si="4"/>
        <v>0.5498999999999999</v>
      </c>
      <c r="Y17" s="277">
        <f t="shared" si="5"/>
        <v>85107012</v>
      </c>
      <c r="Z17" s="279"/>
      <c r="AA17" s="280">
        <f t="shared" si="7"/>
        <v>4.7599</v>
      </c>
      <c r="AB17" s="75">
        <v>2.34</v>
      </c>
      <c r="AC17" s="279">
        <f t="shared" si="8"/>
        <v>1.8699999999999999</v>
      </c>
      <c r="AD17" s="281">
        <v>0.7</v>
      </c>
      <c r="AE17" s="279"/>
      <c r="AF17" s="279"/>
      <c r="AG17" s="282">
        <f t="shared" si="9"/>
        <v>1.17</v>
      </c>
      <c r="AH17" s="279"/>
      <c r="AI17" s="279"/>
      <c r="AJ17" s="279"/>
      <c r="AK17" s="279"/>
      <c r="AL17" s="279"/>
      <c r="AM17" s="279"/>
      <c r="AN17" s="279"/>
      <c r="AO17" s="279"/>
      <c r="AP17" s="279"/>
      <c r="AQ17" s="279"/>
      <c r="AR17" s="279"/>
      <c r="AS17" s="428">
        <f t="shared" si="10"/>
        <v>0.5498999999999999</v>
      </c>
      <c r="AT17" s="284">
        <f>AA17*12*1490000</f>
        <v>85107012</v>
      </c>
      <c r="AU17" s="19"/>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row>
    <row r="18" spans="1:75" ht="15.75">
      <c r="A18" s="272">
        <v>5</v>
      </c>
      <c r="B18" s="273" t="s">
        <v>165</v>
      </c>
      <c r="C18" s="415"/>
      <c r="D18" s="415"/>
      <c r="E18" s="274">
        <f t="shared" si="2"/>
        <v>4.3435</v>
      </c>
      <c r="F18" s="275">
        <v>2.1</v>
      </c>
      <c r="G18" s="274">
        <f t="shared" si="3"/>
        <v>1.75</v>
      </c>
      <c r="H18" s="274">
        <v>0.7</v>
      </c>
      <c r="I18" s="274"/>
      <c r="J18" s="274"/>
      <c r="K18" s="274">
        <f>(F18+I18+J18)*0.5</f>
        <v>1.05</v>
      </c>
      <c r="L18" s="269"/>
      <c r="M18" s="269"/>
      <c r="N18" s="269"/>
      <c r="O18" s="269"/>
      <c r="P18" s="269"/>
      <c r="Q18" s="269"/>
      <c r="R18" s="269"/>
      <c r="S18" s="276"/>
      <c r="T18" s="269"/>
      <c r="U18" s="269"/>
      <c r="V18" s="269"/>
      <c r="W18" s="269"/>
      <c r="X18" s="274">
        <f t="shared" si="4"/>
        <v>0.4935</v>
      </c>
      <c r="Y18" s="277">
        <f t="shared" si="5"/>
        <v>77661780</v>
      </c>
      <c r="Z18" s="279"/>
      <c r="AA18" s="280">
        <f t="shared" si="7"/>
        <v>4.3435</v>
      </c>
      <c r="AB18" s="75">
        <v>2.1</v>
      </c>
      <c r="AC18" s="279">
        <f t="shared" si="8"/>
        <v>1.75</v>
      </c>
      <c r="AD18" s="281">
        <v>0.7</v>
      </c>
      <c r="AE18" s="279"/>
      <c r="AF18" s="279"/>
      <c r="AG18" s="282">
        <f t="shared" si="9"/>
        <v>1.05</v>
      </c>
      <c r="AH18" s="279"/>
      <c r="AI18" s="279"/>
      <c r="AJ18" s="279"/>
      <c r="AK18" s="279"/>
      <c r="AL18" s="279"/>
      <c r="AM18" s="279"/>
      <c r="AN18" s="279"/>
      <c r="AO18" s="279"/>
      <c r="AP18" s="279"/>
      <c r="AQ18" s="279"/>
      <c r="AR18" s="279"/>
      <c r="AS18" s="428">
        <f t="shared" si="10"/>
        <v>0.4935</v>
      </c>
      <c r="AT18" s="284">
        <f>AA18*12*1490000</f>
        <v>77661780</v>
      </c>
      <c r="AU18" s="19"/>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row>
    <row r="19" spans="1:75" ht="15.75">
      <c r="A19" s="272">
        <v>6</v>
      </c>
      <c r="B19" s="273" t="s">
        <v>164</v>
      </c>
      <c r="C19" s="415"/>
      <c r="D19" s="415"/>
      <c r="E19" s="274">
        <f t="shared" si="2"/>
        <v>3.5899</v>
      </c>
      <c r="F19" s="275">
        <v>2.34</v>
      </c>
      <c r="G19" s="274">
        <f t="shared" si="3"/>
        <v>0.7</v>
      </c>
      <c r="H19" s="274">
        <v>0.7</v>
      </c>
      <c r="I19" s="274"/>
      <c r="J19" s="274"/>
      <c r="K19" s="274"/>
      <c r="L19" s="269"/>
      <c r="M19" s="269"/>
      <c r="N19" s="269"/>
      <c r="O19" s="269"/>
      <c r="P19" s="269"/>
      <c r="Q19" s="269"/>
      <c r="R19" s="269"/>
      <c r="S19" s="276"/>
      <c r="T19" s="269"/>
      <c r="U19" s="269"/>
      <c r="V19" s="269"/>
      <c r="W19" s="269"/>
      <c r="X19" s="274">
        <f t="shared" si="4"/>
        <v>0.5498999999999999</v>
      </c>
      <c r="Y19" s="277">
        <f t="shared" si="5"/>
        <v>64187412</v>
      </c>
      <c r="Z19" s="279"/>
      <c r="AA19" s="280">
        <f t="shared" si="7"/>
        <v>5.33245</v>
      </c>
      <c r="AB19" s="75">
        <v>2.67</v>
      </c>
      <c r="AC19" s="279">
        <f t="shared" si="8"/>
        <v>2.035</v>
      </c>
      <c r="AD19" s="281">
        <v>0.7</v>
      </c>
      <c r="AE19" s="279"/>
      <c r="AF19" s="279"/>
      <c r="AG19" s="282">
        <f t="shared" si="9"/>
        <v>1.335</v>
      </c>
      <c r="AH19" s="279"/>
      <c r="AI19" s="279"/>
      <c r="AJ19" s="279"/>
      <c r="AK19" s="279"/>
      <c r="AL19" s="279"/>
      <c r="AM19" s="279"/>
      <c r="AN19" s="279"/>
      <c r="AO19" s="279"/>
      <c r="AP19" s="279"/>
      <c r="AQ19" s="279"/>
      <c r="AR19" s="279"/>
      <c r="AS19" s="428">
        <f t="shared" si="10"/>
        <v>0.62745</v>
      </c>
      <c r="AT19" s="284">
        <f>AA19*12*1490000</f>
        <v>95344206</v>
      </c>
      <c r="AU19" s="19"/>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row>
    <row r="20" spans="1:47" s="20" customFormat="1" ht="15.75">
      <c r="A20" s="267">
        <v>6</v>
      </c>
      <c r="B20" s="285" t="s">
        <v>9</v>
      </c>
      <c r="C20" s="415">
        <v>6</v>
      </c>
      <c r="D20" s="415">
        <v>5</v>
      </c>
      <c r="E20" s="269">
        <f>E21</f>
        <v>25.5203</v>
      </c>
      <c r="F20" s="269">
        <f aca="true" t="shared" si="11" ref="F20:X20">F21</f>
        <v>14.75</v>
      </c>
      <c r="G20" s="269">
        <f t="shared" si="11"/>
        <v>10.804999999999998</v>
      </c>
      <c r="H20" s="269">
        <f t="shared" si="11"/>
        <v>4.2</v>
      </c>
      <c r="I20" s="269">
        <f t="shared" si="11"/>
        <v>0</v>
      </c>
      <c r="J20" s="269">
        <f t="shared" si="11"/>
        <v>0</v>
      </c>
      <c r="K20" s="269">
        <f t="shared" si="11"/>
        <v>6.205</v>
      </c>
      <c r="L20" s="269">
        <f t="shared" si="11"/>
        <v>0</v>
      </c>
      <c r="M20" s="269">
        <f t="shared" si="11"/>
        <v>0</v>
      </c>
      <c r="N20" s="269">
        <f t="shared" si="11"/>
        <v>0</v>
      </c>
      <c r="O20" s="269">
        <f t="shared" si="11"/>
        <v>0</v>
      </c>
      <c r="P20" s="269">
        <f t="shared" si="11"/>
        <v>0</v>
      </c>
      <c r="Q20" s="269">
        <f t="shared" si="11"/>
        <v>0</v>
      </c>
      <c r="R20" s="269">
        <f t="shared" si="11"/>
        <v>0</v>
      </c>
      <c r="S20" s="269">
        <f t="shared" si="11"/>
        <v>0</v>
      </c>
      <c r="T20" s="269">
        <f t="shared" si="11"/>
        <v>0</v>
      </c>
      <c r="U20" s="269">
        <f t="shared" si="11"/>
        <v>0</v>
      </c>
      <c r="V20" s="269">
        <f t="shared" si="11"/>
        <v>0</v>
      </c>
      <c r="W20" s="269">
        <f t="shared" si="11"/>
        <v>0.4</v>
      </c>
      <c r="X20" s="269">
        <f t="shared" si="11"/>
        <v>3.44285</v>
      </c>
      <c r="Y20" s="270">
        <f>ROUNDUP(Y21,-3)</f>
        <v>456303000</v>
      </c>
      <c r="Z20" s="279"/>
      <c r="AA20" s="280">
        <f t="shared" si="7"/>
        <v>2.8899</v>
      </c>
      <c r="AB20" s="68">
        <v>2.34</v>
      </c>
      <c r="AC20" s="279">
        <f t="shared" si="8"/>
        <v>0</v>
      </c>
      <c r="AD20" s="281"/>
      <c r="AE20" s="279"/>
      <c r="AF20" s="279"/>
      <c r="AG20" s="282"/>
      <c r="AH20" s="279"/>
      <c r="AI20" s="279"/>
      <c r="AJ20" s="279"/>
      <c r="AK20" s="279"/>
      <c r="AL20" s="279"/>
      <c r="AM20" s="279"/>
      <c r="AN20" s="279"/>
      <c r="AO20" s="279"/>
      <c r="AP20" s="279"/>
      <c r="AQ20" s="279"/>
      <c r="AR20" s="279"/>
      <c r="AS20" s="428">
        <f t="shared" si="10"/>
        <v>0.5498999999999999</v>
      </c>
      <c r="AT20" s="284">
        <f>AA20*5*1490000</f>
        <v>21529755</v>
      </c>
      <c r="AU20" s="21"/>
    </row>
    <row r="21" spans="1:47" s="17" customFormat="1" ht="31.5">
      <c r="A21" s="286" t="s">
        <v>243</v>
      </c>
      <c r="B21" s="266" t="s">
        <v>268</v>
      </c>
      <c r="C21" s="415"/>
      <c r="D21" s="415"/>
      <c r="E21" s="269">
        <f>SUM(E22:E27)</f>
        <v>25.5203</v>
      </c>
      <c r="F21" s="269">
        <f aca="true" t="shared" si="12" ref="F21:X21">SUM(F22:F27)</f>
        <v>14.75</v>
      </c>
      <c r="G21" s="269">
        <f t="shared" si="12"/>
        <v>10.804999999999998</v>
      </c>
      <c r="H21" s="269">
        <f t="shared" si="12"/>
        <v>4.2</v>
      </c>
      <c r="I21" s="269">
        <f t="shared" si="12"/>
        <v>0</v>
      </c>
      <c r="J21" s="269">
        <f t="shared" si="12"/>
        <v>0</v>
      </c>
      <c r="K21" s="269">
        <f t="shared" si="12"/>
        <v>6.205</v>
      </c>
      <c r="L21" s="269">
        <f t="shared" si="12"/>
        <v>0</v>
      </c>
      <c r="M21" s="269">
        <f t="shared" si="12"/>
        <v>0</v>
      </c>
      <c r="N21" s="269">
        <f t="shared" si="12"/>
        <v>0</v>
      </c>
      <c r="O21" s="269">
        <f t="shared" si="12"/>
        <v>0</v>
      </c>
      <c r="P21" s="269">
        <f t="shared" si="12"/>
        <v>0</v>
      </c>
      <c r="Q21" s="269">
        <f t="shared" si="12"/>
        <v>0</v>
      </c>
      <c r="R21" s="269">
        <f t="shared" si="12"/>
        <v>0</v>
      </c>
      <c r="S21" s="269">
        <f t="shared" si="12"/>
        <v>0</v>
      </c>
      <c r="T21" s="269">
        <f t="shared" si="12"/>
        <v>0</v>
      </c>
      <c r="U21" s="269">
        <f t="shared" si="12"/>
        <v>0</v>
      </c>
      <c r="V21" s="269">
        <f t="shared" si="12"/>
        <v>0</v>
      </c>
      <c r="W21" s="269">
        <f t="shared" si="12"/>
        <v>0.4</v>
      </c>
      <c r="X21" s="269">
        <f t="shared" si="12"/>
        <v>3.44285</v>
      </c>
      <c r="Y21" s="288">
        <f>ROUNDUP(SUM(Y22:Y27),-3)</f>
        <v>456303000</v>
      </c>
      <c r="Z21" s="279"/>
      <c r="AA21" s="280">
        <f t="shared" si="7"/>
        <v>8.17785</v>
      </c>
      <c r="AB21" s="68">
        <v>3.96</v>
      </c>
      <c r="AC21" s="279">
        <f t="shared" si="8"/>
        <v>3.2049999999999996</v>
      </c>
      <c r="AD21" s="281">
        <v>0.7</v>
      </c>
      <c r="AE21" s="279">
        <v>0.35</v>
      </c>
      <c r="AF21" s="279"/>
      <c r="AG21" s="282">
        <f t="shared" si="9"/>
        <v>2.155</v>
      </c>
      <c r="AH21" s="279"/>
      <c r="AI21" s="279"/>
      <c r="AJ21" s="279"/>
      <c r="AK21" s="279"/>
      <c r="AL21" s="279"/>
      <c r="AM21" s="279"/>
      <c r="AN21" s="279"/>
      <c r="AO21" s="279"/>
      <c r="AP21" s="279"/>
      <c r="AQ21" s="279"/>
      <c r="AR21" s="279"/>
      <c r="AS21" s="428">
        <f t="shared" si="10"/>
        <v>1.0128499999999998</v>
      </c>
      <c r="AT21" s="284">
        <f>AA21*7*1490000</f>
        <v>85294975.5</v>
      </c>
      <c r="AU21" s="19"/>
    </row>
    <row r="22" spans="1:47" s="22" customFormat="1" ht="34.5" customHeight="1">
      <c r="A22" s="272">
        <v>1</v>
      </c>
      <c r="B22" s="337" t="s">
        <v>269</v>
      </c>
      <c r="C22" s="416"/>
      <c r="D22" s="416"/>
      <c r="E22" s="274">
        <f>F22+G22+X22</f>
        <v>4.7364999999999995</v>
      </c>
      <c r="F22" s="275">
        <v>2.34</v>
      </c>
      <c r="G22" s="274">
        <f aca="true" t="shared" si="13" ref="G22:G27">H22+I22+J22+K22+L22+M22+N22+O22+P22+Q22+R22+S22+T22+U22+W22</f>
        <v>1.8699999999999999</v>
      </c>
      <c r="H22" s="274">
        <v>0.7</v>
      </c>
      <c r="I22" s="274"/>
      <c r="J22" s="289"/>
      <c r="K22" s="274">
        <f>(F22+I22+J22)*0.5</f>
        <v>1.17</v>
      </c>
      <c r="L22" s="274"/>
      <c r="M22" s="274"/>
      <c r="N22" s="274"/>
      <c r="O22" s="274"/>
      <c r="P22" s="274"/>
      <c r="Q22" s="274"/>
      <c r="R22" s="274"/>
      <c r="S22" s="275"/>
      <c r="T22" s="274"/>
      <c r="U22" s="274"/>
      <c r="V22" s="274"/>
      <c r="W22" s="274"/>
      <c r="X22" s="274">
        <f>(F22+I22+J22+M22)*0.225</f>
        <v>0.5265</v>
      </c>
      <c r="Y22" s="277">
        <f>E22*1490000*12</f>
        <v>84688619.99999999</v>
      </c>
      <c r="Z22" s="271"/>
      <c r="AA22" s="290">
        <f>AA23</f>
        <v>29.81335</v>
      </c>
      <c r="AB22" s="290">
        <f aca="true" t="shared" si="14" ref="AB22:AS22">AB23</f>
        <v>15.41</v>
      </c>
      <c r="AC22" s="290">
        <f t="shared" si="14"/>
        <v>10.735</v>
      </c>
      <c r="AD22" s="290">
        <f t="shared" si="14"/>
        <v>3.5</v>
      </c>
      <c r="AE22" s="290">
        <f t="shared" si="14"/>
        <v>0.2</v>
      </c>
      <c r="AF22" s="290">
        <f t="shared" si="14"/>
        <v>0</v>
      </c>
      <c r="AG22" s="290">
        <f t="shared" si="14"/>
        <v>6.635000000000001</v>
      </c>
      <c r="AH22" s="290">
        <f t="shared" si="14"/>
        <v>0</v>
      </c>
      <c r="AI22" s="290">
        <f t="shared" si="14"/>
        <v>0</v>
      </c>
      <c r="AJ22" s="290">
        <f t="shared" si="14"/>
        <v>0</v>
      </c>
      <c r="AK22" s="290">
        <f t="shared" si="14"/>
        <v>0</v>
      </c>
      <c r="AL22" s="290">
        <f t="shared" si="14"/>
        <v>0</v>
      </c>
      <c r="AM22" s="290">
        <f t="shared" si="14"/>
        <v>0</v>
      </c>
      <c r="AN22" s="290">
        <f t="shared" si="14"/>
        <v>0</v>
      </c>
      <c r="AO22" s="290">
        <f t="shared" si="14"/>
        <v>0</v>
      </c>
      <c r="AP22" s="290">
        <f t="shared" si="14"/>
        <v>0</v>
      </c>
      <c r="AQ22" s="290">
        <f t="shared" si="14"/>
        <v>0</v>
      </c>
      <c r="AR22" s="290">
        <f t="shared" si="14"/>
        <v>0.4</v>
      </c>
      <c r="AS22" s="429">
        <f t="shared" si="14"/>
        <v>3.66835</v>
      </c>
      <c r="AT22" s="292">
        <f>AT23</f>
        <v>523951273.5</v>
      </c>
      <c r="AU22" s="18"/>
    </row>
    <row r="23" spans="1:47" s="22" customFormat="1" ht="15.75">
      <c r="A23" s="272">
        <v>2</v>
      </c>
      <c r="B23" s="273" t="s">
        <v>239</v>
      </c>
      <c r="C23" s="416"/>
      <c r="D23" s="416"/>
      <c r="E23" s="274">
        <f>F23+G23+X23</f>
        <v>4.4741</v>
      </c>
      <c r="F23" s="275">
        <v>2.06</v>
      </c>
      <c r="G23" s="274">
        <f t="shared" si="13"/>
        <v>1.93</v>
      </c>
      <c r="H23" s="274">
        <v>0.7</v>
      </c>
      <c r="I23" s="274"/>
      <c r="J23" s="274"/>
      <c r="K23" s="274">
        <f>(F23+I23+J23)*0.5</f>
        <v>1.03</v>
      </c>
      <c r="L23" s="274"/>
      <c r="M23" s="274"/>
      <c r="N23" s="274"/>
      <c r="O23" s="274"/>
      <c r="P23" s="274"/>
      <c r="Q23" s="274"/>
      <c r="R23" s="274"/>
      <c r="S23" s="275"/>
      <c r="T23" s="274"/>
      <c r="U23" s="274"/>
      <c r="V23" s="274"/>
      <c r="W23" s="274">
        <v>0.2</v>
      </c>
      <c r="X23" s="274">
        <f>(F23+I23+J23+M23)*0.235</f>
        <v>0.4841</v>
      </c>
      <c r="Y23" s="277">
        <f>E23*1490000*12</f>
        <v>79996908</v>
      </c>
      <c r="Z23" s="290">
        <v>6</v>
      </c>
      <c r="AA23" s="291">
        <f>SUM(AA24:AA29)</f>
        <v>29.81335</v>
      </c>
      <c r="AB23" s="291">
        <f>SUM(AB24:AB29)</f>
        <v>15.41</v>
      </c>
      <c r="AC23" s="291">
        <f>SUM(AC24:AC29)</f>
        <v>10.735</v>
      </c>
      <c r="AD23" s="291">
        <f>SUM(AD24:AD29)</f>
        <v>3.5</v>
      </c>
      <c r="AE23" s="291">
        <f>SUM(AE24:AE29)</f>
        <v>0.2</v>
      </c>
      <c r="AF23" s="291">
        <f aca="true" t="shared" si="15" ref="AF23:AT23">SUM(AF24:AF29)</f>
        <v>0</v>
      </c>
      <c r="AG23" s="291">
        <f>SUM(AG24:AG29)</f>
        <v>6.635000000000001</v>
      </c>
      <c r="AH23" s="291">
        <f t="shared" si="15"/>
        <v>0</v>
      </c>
      <c r="AI23" s="291">
        <f t="shared" si="15"/>
        <v>0</v>
      </c>
      <c r="AJ23" s="291">
        <f t="shared" si="15"/>
        <v>0</v>
      </c>
      <c r="AK23" s="291">
        <f t="shared" si="15"/>
        <v>0</v>
      </c>
      <c r="AL23" s="291">
        <f t="shared" si="15"/>
        <v>0</v>
      </c>
      <c r="AM23" s="291">
        <f t="shared" si="15"/>
        <v>0</v>
      </c>
      <c r="AN23" s="291">
        <f t="shared" si="15"/>
        <v>0</v>
      </c>
      <c r="AO23" s="291">
        <f t="shared" si="15"/>
        <v>0</v>
      </c>
      <c r="AP23" s="291">
        <f t="shared" si="15"/>
        <v>0</v>
      </c>
      <c r="AQ23" s="291">
        <f t="shared" si="15"/>
        <v>0</v>
      </c>
      <c r="AR23" s="291">
        <f>SUM(AR24:AR29)</f>
        <v>0.4</v>
      </c>
      <c r="AS23" s="430">
        <f>SUM(AS24:AS29)</f>
        <v>3.66835</v>
      </c>
      <c r="AT23" s="452">
        <f t="shared" si="15"/>
        <v>523951273.5</v>
      </c>
      <c r="AU23" s="18"/>
    </row>
    <row r="24" spans="1:47" s="22" customFormat="1" ht="15.75">
      <c r="A24" s="272">
        <v>3</v>
      </c>
      <c r="B24" s="273" t="s">
        <v>236</v>
      </c>
      <c r="C24" s="416"/>
      <c r="D24" s="416"/>
      <c r="E24" s="274">
        <f>F24+G24+X24</f>
        <v>4.9599</v>
      </c>
      <c r="F24" s="275">
        <v>2.34</v>
      </c>
      <c r="G24" s="274">
        <f t="shared" si="13"/>
        <v>2.07</v>
      </c>
      <c r="H24" s="274">
        <v>0.7</v>
      </c>
      <c r="I24" s="274"/>
      <c r="J24" s="274"/>
      <c r="K24" s="274">
        <f>(F24+I24+J24)*0.5</f>
        <v>1.17</v>
      </c>
      <c r="L24" s="274"/>
      <c r="M24" s="274"/>
      <c r="N24" s="274"/>
      <c r="O24" s="274"/>
      <c r="P24" s="274"/>
      <c r="Q24" s="274"/>
      <c r="R24" s="274"/>
      <c r="S24" s="275"/>
      <c r="T24" s="274"/>
      <c r="U24" s="274"/>
      <c r="V24" s="274"/>
      <c r="W24" s="274">
        <v>0.2</v>
      </c>
      <c r="X24" s="274">
        <f>(F24+I24+J24+M24)*0.235</f>
        <v>0.5498999999999999</v>
      </c>
      <c r="Y24" s="277">
        <f>E24*1490000*12</f>
        <v>88683012</v>
      </c>
      <c r="Z24" s="292"/>
      <c r="AA24" s="293">
        <f aca="true" t="shared" si="16" ref="AA24:AA29">AB24+AC24+AS24</f>
        <v>5.53245</v>
      </c>
      <c r="AB24" s="294">
        <v>2.67</v>
      </c>
      <c r="AC24" s="279">
        <f aca="true" t="shared" si="17" ref="AC24:AC29">SUM(AD24:AR24)</f>
        <v>2.2350000000000003</v>
      </c>
      <c r="AD24" s="281">
        <v>0.7</v>
      </c>
      <c r="AE24" s="283"/>
      <c r="AF24" s="292"/>
      <c r="AG24" s="282">
        <f>(AB24+AE24)*50%</f>
        <v>1.335</v>
      </c>
      <c r="AH24" s="292"/>
      <c r="AI24" s="292"/>
      <c r="AJ24" s="292"/>
      <c r="AK24" s="292"/>
      <c r="AL24" s="292"/>
      <c r="AM24" s="292"/>
      <c r="AN24" s="292"/>
      <c r="AO24" s="292"/>
      <c r="AP24" s="292"/>
      <c r="AQ24" s="292"/>
      <c r="AR24" s="283">
        <v>0.2</v>
      </c>
      <c r="AS24" s="428">
        <f aca="true" t="shared" si="18" ref="AS24:AS29">(AB24+AE24)*23.5%</f>
        <v>0.62745</v>
      </c>
      <c r="AT24" s="284">
        <f>(AA24*8*1490000)+(4.96*4*1490000)</f>
        <v>95508404</v>
      </c>
      <c r="AU24" s="18"/>
    </row>
    <row r="25" spans="1:47" s="22" customFormat="1" ht="15.75">
      <c r="A25" s="272">
        <v>4</v>
      </c>
      <c r="B25" s="273" t="s">
        <v>270</v>
      </c>
      <c r="C25" s="416"/>
      <c r="D25" s="416"/>
      <c r="E25" s="274">
        <v>3</v>
      </c>
      <c r="F25" s="275">
        <v>3.33</v>
      </c>
      <c r="G25" s="274">
        <f t="shared" si="13"/>
        <v>2.365</v>
      </c>
      <c r="H25" s="274">
        <v>0.7</v>
      </c>
      <c r="I25" s="274"/>
      <c r="J25" s="274"/>
      <c r="K25" s="274">
        <f>(F25+I25+J25)*0.5</f>
        <v>1.665</v>
      </c>
      <c r="L25" s="274"/>
      <c r="M25" s="274"/>
      <c r="N25" s="274"/>
      <c r="O25" s="274"/>
      <c r="P25" s="274"/>
      <c r="Q25" s="274"/>
      <c r="R25" s="274"/>
      <c r="S25" s="275"/>
      <c r="T25" s="274"/>
      <c r="U25" s="274"/>
      <c r="V25" s="274"/>
      <c r="W25" s="274"/>
      <c r="X25" s="274">
        <f>(F25+I25+J25+M25)*0.235</f>
        <v>0.78255</v>
      </c>
      <c r="Y25" s="277">
        <f>E25*1490000*12</f>
        <v>53640000</v>
      </c>
      <c r="Z25" s="292"/>
      <c r="AA25" s="293">
        <f t="shared" si="16"/>
        <v>5.67945</v>
      </c>
      <c r="AB25" s="294">
        <v>2.67</v>
      </c>
      <c r="AC25" s="279">
        <f t="shared" si="17"/>
        <v>2.335</v>
      </c>
      <c r="AD25" s="281">
        <v>0.7</v>
      </c>
      <c r="AE25" s="283">
        <v>0.2</v>
      </c>
      <c r="AF25" s="292"/>
      <c r="AG25" s="282">
        <f>(AB25+AE25)*50%</f>
        <v>1.435</v>
      </c>
      <c r="AH25" s="292"/>
      <c r="AI25" s="292"/>
      <c r="AJ25" s="292"/>
      <c r="AK25" s="292"/>
      <c r="AL25" s="292"/>
      <c r="AM25" s="292"/>
      <c r="AN25" s="292"/>
      <c r="AO25" s="292"/>
      <c r="AP25" s="292"/>
      <c r="AQ25" s="292"/>
      <c r="AR25" s="283"/>
      <c r="AS25" s="428">
        <f t="shared" si="18"/>
        <v>0.67445</v>
      </c>
      <c r="AT25" s="284">
        <f>(AA25*7*1490000)+(4.76*4*1490000)+(5.532*1490000*1)</f>
        <v>95848943.5</v>
      </c>
      <c r="AU25" s="18"/>
    </row>
    <row r="26" spans="1:47" s="17" customFormat="1" ht="15.75">
      <c r="A26" s="272">
        <v>6</v>
      </c>
      <c r="B26" s="273" t="s">
        <v>164</v>
      </c>
      <c r="C26" s="415"/>
      <c r="D26" s="415"/>
      <c r="E26" s="274">
        <f>F26+G26+X26</f>
        <v>3.5899</v>
      </c>
      <c r="F26" s="275">
        <v>2.34</v>
      </c>
      <c r="G26" s="274">
        <f t="shared" si="13"/>
        <v>0.7</v>
      </c>
      <c r="H26" s="274">
        <v>0.7</v>
      </c>
      <c r="I26" s="274"/>
      <c r="J26" s="274"/>
      <c r="K26" s="274"/>
      <c r="L26" s="269"/>
      <c r="M26" s="269"/>
      <c r="N26" s="269"/>
      <c r="O26" s="269"/>
      <c r="P26" s="269"/>
      <c r="Q26" s="269"/>
      <c r="R26" s="269"/>
      <c r="S26" s="276"/>
      <c r="T26" s="269"/>
      <c r="U26" s="269"/>
      <c r="V26" s="269"/>
      <c r="W26" s="269"/>
      <c r="X26" s="274">
        <f>(F26+I26)*23.5%</f>
        <v>0.5498999999999999</v>
      </c>
      <c r="Y26" s="277">
        <f>ROUNDUP(E26*1490000*12,0)</f>
        <v>64187412</v>
      </c>
      <c r="Z26" s="292"/>
      <c r="AA26" s="293">
        <f t="shared" si="16"/>
        <v>4.7599</v>
      </c>
      <c r="AB26" s="294">
        <v>2.34</v>
      </c>
      <c r="AC26" s="279">
        <f t="shared" si="17"/>
        <v>1.8699999999999999</v>
      </c>
      <c r="AD26" s="281">
        <v>0.7</v>
      </c>
      <c r="AE26" s="283"/>
      <c r="AF26" s="292"/>
      <c r="AG26" s="282">
        <f>(AB26+AE26)*50%</f>
        <v>1.17</v>
      </c>
      <c r="AH26" s="292"/>
      <c r="AI26" s="292"/>
      <c r="AJ26" s="292"/>
      <c r="AK26" s="292"/>
      <c r="AL26" s="292"/>
      <c r="AM26" s="292"/>
      <c r="AN26" s="292"/>
      <c r="AO26" s="292"/>
      <c r="AP26" s="292"/>
      <c r="AQ26" s="292"/>
      <c r="AR26" s="283"/>
      <c r="AS26" s="428">
        <f>(AB26+AE26)*23.5%</f>
        <v>0.5498999999999999</v>
      </c>
      <c r="AT26" s="284">
        <f>AA26*12*1490000</f>
        <v>85107012</v>
      </c>
      <c r="AU26" s="19"/>
    </row>
    <row r="27" spans="1:47" s="22" customFormat="1" ht="15.75">
      <c r="A27" s="272">
        <v>5</v>
      </c>
      <c r="B27" s="273" t="s">
        <v>237</v>
      </c>
      <c r="C27" s="416"/>
      <c r="D27" s="416"/>
      <c r="E27" s="274">
        <f>F27+G27+X27</f>
        <v>4.7599</v>
      </c>
      <c r="F27" s="275">
        <v>2.34</v>
      </c>
      <c r="G27" s="274">
        <f t="shared" si="13"/>
        <v>1.8699999999999999</v>
      </c>
      <c r="H27" s="274">
        <v>0.7</v>
      </c>
      <c r="I27" s="274"/>
      <c r="J27" s="274"/>
      <c r="K27" s="274">
        <f>(F27+I27+J27)*0.5</f>
        <v>1.17</v>
      </c>
      <c r="L27" s="274"/>
      <c r="M27" s="274"/>
      <c r="N27" s="274"/>
      <c r="O27" s="274"/>
      <c r="P27" s="274"/>
      <c r="Q27" s="274"/>
      <c r="R27" s="274"/>
      <c r="S27" s="275"/>
      <c r="T27" s="274"/>
      <c r="U27" s="274"/>
      <c r="V27" s="274"/>
      <c r="W27" s="274"/>
      <c r="X27" s="274">
        <f>(F27+I27+J27+M27)*0.235</f>
        <v>0.5498999999999999</v>
      </c>
      <c r="Y27" s="277">
        <f>E27*1490000*12</f>
        <v>85107012</v>
      </c>
      <c r="Z27" s="292"/>
      <c r="AA27" s="293">
        <f t="shared" si="16"/>
        <v>6.47755</v>
      </c>
      <c r="AB27" s="294">
        <v>3.33</v>
      </c>
      <c r="AC27" s="279">
        <f t="shared" si="17"/>
        <v>2.365</v>
      </c>
      <c r="AD27" s="281">
        <v>0.7</v>
      </c>
      <c r="AE27" s="283"/>
      <c r="AF27" s="292"/>
      <c r="AG27" s="282">
        <f>(AB27+AE27)*50%</f>
        <v>1.665</v>
      </c>
      <c r="AH27" s="292"/>
      <c r="AI27" s="292"/>
      <c r="AJ27" s="292"/>
      <c r="AK27" s="292"/>
      <c r="AL27" s="292"/>
      <c r="AM27" s="292"/>
      <c r="AN27" s="292"/>
      <c r="AO27" s="292"/>
      <c r="AP27" s="292"/>
      <c r="AQ27" s="292"/>
      <c r="AR27" s="283"/>
      <c r="AS27" s="428">
        <f>(AB27+AE27)*23.5%</f>
        <v>0.78255</v>
      </c>
      <c r="AT27" s="284">
        <f>AA27*12*1490000</f>
        <v>115818594</v>
      </c>
      <c r="AU27" s="18"/>
    </row>
    <row r="28" spans="1:75" ht="15.75">
      <c r="A28" s="265">
        <v>6</v>
      </c>
      <c r="B28" s="266" t="s">
        <v>163</v>
      </c>
      <c r="C28" s="414"/>
      <c r="D28" s="414"/>
      <c r="E28" s="274"/>
      <c r="F28" s="296"/>
      <c r="G28" s="274"/>
      <c r="H28" s="295"/>
      <c r="I28" s="295"/>
      <c r="J28" s="295"/>
      <c r="K28" s="274"/>
      <c r="L28" s="295"/>
      <c r="M28" s="295"/>
      <c r="N28" s="295"/>
      <c r="O28" s="295"/>
      <c r="P28" s="295"/>
      <c r="Q28" s="295"/>
      <c r="R28" s="295"/>
      <c r="S28" s="297"/>
      <c r="T28" s="295"/>
      <c r="U28" s="295"/>
      <c r="V28" s="295"/>
      <c r="W28" s="295"/>
      <c r="X28" s="274"/>
      <c r="Y28" s="277"/>
      <c r="Z28" s="292"/>
      <c r="AA28" s="293">
        <f t="shared" si="16"/>
        <v>4.4741</v>
      </c>
      <c r="AB28" s="294">
        <v>2.06</v>
      </c>
      <c r="AC28" s="279">
        <f t="shared" si="17"/>
        <v>1.93</v>
      </c>
      <c r="AD28" s="281">
        <v>0.7</v>
      </c>
      <c r="AE28" s="283"/>
      <c r="AF28" s="292"/>
      <c r="AG28" s="282">
        <f>(AB28+AE28)*50%</f>
        <v>1.03</v>
      </c>
      <c r="AH28" s="292"/>
      <c r="AI28" s="292"/>
      <c r="AJ28" s="292"/>
      <c r="AK28" s="292"/>
      <c r="AL28" s="292"/>
      <c r="AM28" s="292"/>
      <c r="AN28" s="292"/>
      <c r="AO28" s="292"/>
      <c r="AP28" s="292"/>
      <c r="AQ28" s="292"/>
      <c r="AR28" s="283">
        <v>0.2</v>
      </c>
      <c r="AS28" s="428">
        <f>(AB28+AE28)*23.5%</f>
        <v>0.4841</v>
      </c>
      <c r="AT28" s="284">
        <f>AA28*12*1490000</f>
        <v>79996908</v>
      </c>
      <c r="AU28" s="19"/>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row>
    <row r="29" spans="1:75" ht="15.75">
      <c r="A29" s="265">
        <v>7</v>
      </c>
      <c r="B29" s="266" t="s">
        <v>162</v>
      </c>
      <c r="C29" s="414"/>
      <c r="D29" s="414"/>
      <c r="E29" s="274"/>
      <c r="F29" s="296"/>
      <c r="G29" s="274"/>
      <c r="H29" s="295"/>
      <c r="I29" s="295"/>
      <c r="J29" s="295"/>
      <c r="K29" s="274"/>
      <c r="L29" s="295"/>
      <c r="M29" s="295"/>
      <c r="N29" s="295"/>
      <c r="O29" s="295"/>
      <c r="P29" s="295"/>
      <c r="Q29" s="295"/>
      <c r="R29" s="295"/>
      <c r="S29" s="297"/>
      <c r="T29" s="295"/>
      <c r="U29" s="295"/>
      <c r="V29" s="295"/>
      <c r="W29" s="295"/>
      <c r="X29" s="274"/>
      <c r="Y29" s="277"/>
      <c r="Z29" s="298"/>
      <c r="AA29" s="293">
        <f t="shared" si="16"/>
        <v>2.8899</v>
      </c>
      <c r="AB29" s="299">
        <v>2.34</v>
      </c>
      <c r="AC29" s="279">
        <f t="shared" si="17"/>
        <v>0</v>
      </c>
      <c r="AD29" s="300"/>
      <c r="AE29" s="301"/>
      <c r="AF29" s="298"/>
      <c r="AG29" s="282"/>
      <c r="AH29" s="298"/>
      <c r="AI29" s="298"/>
      <c r="AJ29" s="298"/>
      <c r="AK29" s="298"/>
      <c r="AL29" s="298"/>
      <c r="AM29" s="298"/>
      <c r="AN29" s="298"/>
      <c r="AO29" s="298"/>
      <c r="AP29" s="298"/>
      <c r="AQ29" s="298"/>
      <c r="AR29" s="301"/>
      <c r="AS29" s="431">
        <f t="shared" si="18"/>
        <v>0.5498999999999999</v>
      </c>
      <c r="AT29" s="284">
        <f>AA29*12*1490000</f>
        <v>51671411.99999999</v>
      </c>
      <c r="AU29" s="19"/>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row>
    <row r="30" spans="1:75" ht="15.75">
      <c r="A30" s="265">
        <v>8</v>
      </c>
      <c r="B30" s="266" t="s">
        <v>10</v>
      </c>
      <c r="C30" s="414"/>
      <c r="D30" s="414"/>
      <c r="E30" s="269">
        <f aca="true" t="shared" si="19" ref="E30:U30">E31</f>
        <v>27.261950000000002</v>
      </c>
      <c r="F30" s="276">
        <f t="shared" si="19"/>
        <v>14.37</v>
      </c>
      <c r="G30" s="269">
        <f t="shared" si="19"/>
        <v>9.515</v>
      </c>
      <c r="H30" s="269">
        <f t="shared" si="19"/>
        <v>3.5</v>
      </c>
      <c r="I30" s="269">
        <f t="shared" si="19"/>
        <v>0</v>
      </c>
      <c r="J30" s="269">
        <f t="shared" si="19"/>
        <v>0</v>
      </c>
      <c r="K30" s="269">
        <f t="shared" si="19"/>
        <v>6.015</v>
      </c>
      <c r="L30" s="269">
        <f t="shared" si="19"/>
        <v>0</v>
      </c>
      <c r="M30" s="269">
        <f t="shared" si="19"/>
        <v>0</v>
      </c>
      <c r="N30" s="269">
        <f t="shared" si="19"/>
        <v>0</v>
      </c>
      <c r="O30" s="269">
        <f t="shared" si="19"/>
        <v>0</v>
      </c>
      <c r="P30" s="269">
        <f t="shared" si="19"/>
        <v>0</v>
      </c>
      <c r="Q30" s="269">
        <f t="shared" si="19"/>
        <v>0</v>
      </c>
      <c r="R30" s="269">
        <f t="shared" si="19"/>
        <v>0</v>
      </c>
      <c r="S30" s="269">
        <f t="shared" si="19"/>
        <v>0</v>
      </c>
      <c r="T30" s="269">
        <f t="shared" si="19"/>
        <v>0</v>
      </c>
      <c r="U30" s="269">
        <f t="shared" si="19"/>
        <v>0</v>
      </c>
      <c r="V30" s="269"/>
      <c r="W30" s="269">
        <f>W31</f>
        <v>0</v>
      </c>
      <c r="X30" s="269">
        <f>X31</f>
        <v>3.37695</v>
      </c>
      <c r="Y30" s="270">
        <f>Y31</f>
        <v>487444000</v>
      </c>
      <c r="Z30" s="290">
        <v>6</v>
      </c>
      <c r="AA30" s="290">
        <f>SUM(AA31:AA37)</f>
        <v>32.5944</v>
      </c>
      <c r="AB30" s="290">
        <f>SUM(AB31:AB37)</f>
        <v>17.04</v>
      </c>
      <c r="AC30" s="290">
        <f aca="true" t="shared" si="20" ref="AC30:AS30">SUM(AC31:AC37)</f>
        <v>11.549999999999999</v>
      </c>
      <c r="AD30" s="290">
        <f t="shared" si="20"/>
        <v>4.2</v>
      </c>
      <c r="AE30" s="290">
        <f t="shared" si="20"/>
        <v>0</v>
      </c>
      <c r="AF30" s="290">
        <f t="shared" si="20"/>
        <v>0</v>
      </c>
      <c r="AG30" s="290">
        <f t="shared" si="20"/>
        <v>7.35</v>
      </c>
      <c r="AH30" s="290">
        <f t="shared" si="20"/>
        <v>0</v>
      </c>
      <c r="AI30" s="290">
        <f t="shared" si="20"/>
        <v>0</v>
      </c>
      <c r="AJ30" s="290">
        <f t="shared" si="20"/>
        <v>0</v>
      </c>
      <c r="AK30" s="290">
        <f t="shared" si="20"/>
        <v>0</v>
      </c>
      <c r="AL30" s="290">
        <f t="shared" si="20"/>
        <v>0</v>
      </c>
      <c r="AM30" s="290">
        <f t="shared" si="20"/>
        <v>0</v>
      </c>
      <c r="AN30" s="290">
        <f t="shared" si="20"/>
        <v>0</v>
      </c>
      <c r="AO30" s="290">
        <f t="shared" si="20"/>
        <v>0</v>
      </c>
      <c r="AP30" s="290">
        <f t="shared" si="20"/>
        <v>0</v>
      </c>
      <c r="AQ30" s="290">
        <f t="shared" si="20"/>
        <v>0</v>
      </c>
      <c r="AR30" s="290">
        <f t="shared" si="20"/>
        <v>0</v>
      </c>
      <c r="AS30" s="429">
        <f t="shared" si="20"/>
        <v>4.0043999999999995</v>
      </c>
      <c r="AT30" s="453">
        <f>SUM(AT31:AT37)</f>
        <v>494268462</v>
      </c>
      <c r="AU30" s="19"/>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row>
    <row r="31" spans="1:75" ht="15.75">
      <c r="A31" s="286" t="s">
        <v>161</v>
      </c>
      <c r="B31" s="287" t="s">
        <v>160</v>
      </c>
      <c r="C31" s="415">
        <v>6</v>
      </c>
      <c r="D31" s="415">
        <v>5</v>
      </c>
      <c r="E31" s="269">
        <f aca="true" t="shared" si="21" ref="E31:X31">SUM(E32:E37)</f>
        <v>27.261950000000002</v>
      </c>
      <c r="F31" s="269">
        <f>SUM(F32:F37)</f>
        <v>14.37</v>
      </c>
      <c r="G31" s="269">
        <f t="shared" si="21"/>
        <v>9.515</v>
      </c>
      <c r="H31" s="269">
        <f t="shared" si="21"/>
        <v>3.5</v>
      </c>
      <c r="I31" s="269">
        <f t="shared" si="21"/>
        <v>0</v>
      </c>
      <c r="J31" s="269">
        <f t="shared" si="21"/>
        <v>0</v>
      </c>
      <c r="K31" s="269">
        <f t="shared" si="21"/>
        <v>6.015</v>
      </c>
      <c r="L31" s="269">
        <f t="shared" si="21"/>
        <v>0</v>
      </c>
      <c r="M31" s="269">
        <f t="shared" si="21"/>
        <v>0</v>
      </c>
      <c r="N31" s="269">
        <f t="shared" si="21"/>
        <v>0</v>
      </c>
      <c r="O31" s="269">
        <f t="shared" si="21"/>
        <v>0</v>
      </c>
      <c r="P31" s="269">
        <f t="shared" si="21"/>
        <v>0</v>
      </c>
      <c r="Q31" s="269">
        <f t="shared" si="21"/>
        <v>0</v>
      </c>
      <c r="R31" s="269">
        <f t="shared" si="21"/>
        <v>0</v>
      </c>
      <c r="S31" s="269">
        <f t="shared" si="21"/>
        <v>0</v>
      </c>
      <c r="T31" s="269">
        <f t="shared" si="21"/>
        <v>0</v>
      </c>
      <c r="U31" s="269">
        <f t="shared" si="21"/>
        <v>0</v>
      </c>
      <c r="V31" s="269">
        <f t="shared" si="21"/>
        <v>0</v>
      </c>
      <c r="W31" s="269">
        <f t="shared" si="21"/>
        <v>0</v>
      </c>
      <c r="X31" s="269">
        <f t="shared" si="21"/>
        <v>3.37695</v>
      </c>
      <c r="Y31" s="269">
        <f>ROUNDUP(SUM(Y32:Y37),-3)</f>
        <v>487444000</v>
      </c>
      <c r="Z31" s="301"/>
      <c r="AA31" s="302">
        <f>AB31+AC31+AS31</f>
        <v>4.7599</v>
      </c>
      <c r="AB31" s="302">
        <v>2.34</v>
      </c>
      <c r="AC31" s="302">
        <f aca="true" t="shared" si="22" ref="AC31:AC37">SUM(AD31:AR31)</f>
        <v>1.8699999999999999</v>
      </c>
      <c r="AD31" s="301">
        <v>0.7</v>
      </c>
      <c r="AE31" s="301"/>
      <c r="AF31" s="301"/>
      <c r="AG31" s="302">
        <f aca="true" t="shared" si="23" ref="AG31:AG36">AB31*50%</f>
        <v>1.17</v>
      </c>
      <c r="AH31" s="301"/>
      <c r="AI31" s="301"/>
      <c r="AJ31" s="301"/>
      <c r="AK31" s="301"/>
      <c r="AL31" s="301"/>
      <c r="AM31" s="301"/>
      <c r="AN31" s="301"/>
      <c r="AO31" s="301"/>
      <c r="AP31" s="301"/>
      <c r="AQ31" s="301"/>
      <c r="AR31" s="301"/>
      <c r="AS31" s="432">
        <f aca="true" t="shared" si="24" ref="AS31:AS36">AB31*23.5%</f>
        <v>0.5498999999999999</v>
      </c>
      <c r="AT31" s="283">
        <f>AA31*4*1490000</f>
        <v>28369004</v>
      </c>
      <c r="AU31" s="19"/>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row>
    <row r="32" spans="1:75" ht="15.75">
      <c r="A32" s="272">
        <v>1</v>
      </c>
      <c r="B32" s="273" t="s">
        <v>159</v>
      </c>
      <c r="C32" s="416"/>
      <c r="D32" s="416"/>
      <c r="E32" s="274">
        <f aca="true" t="shared" si="25" ref="E32:E37">F32+G32+X32</f>
        <v>4.7599</v>
      </c>
      <c r="F32" s="275">
        <v>2.34</v>
      </c>
      <c r="G32" s="274">
        <f aca="true" t="shared" si="26" ref="G32:G37">SUM(H32:W32)</f>
        <v>1.8699999999999999</v>
      </c>
      <c r="H32" s="274">
        <v>0.7</v>
      </c>
      <c r="I32" s="274"/>
      <c r="J32" s="274"/>
      <c r="K32" s="274">
        <f>(F32+I32+J32)*0.5</f>
        <v>1.17</v>
      </c>
      <c r="L32" s="274"/>
      <c r="M32" s="274"/>
      <c r="N32" s="274"/>
      <c r="O32" s="274"/>
      <c r="P32" s="274"/>
      <c r="Q32" s="274"/>
      <c r="R32" s="274"/>
      <c r="S32" s="275"/>
      <c r="T32" s="274"/>
      <c r="U32" s="274"/>
      <c r="V32" s="274"/>
      <c r="W32" s="274"/>
      <c r="X32" s="274">
        <f aca="true" t="shared" si="27" ref="X32:X37">(F32+I32+J32+M32)*0.235</f>
        <v>0.5498999999999999</v>
      </c>
      <c r="Y32" s="277">
        <f aca="true" t="shared" si="28" ref="Y32:Y37">E32*1490000*12</f>
        <v>85107012</v>
      </c>
      <c r="Z32" s="283"/>
      <c r="AA32" s="302">
        <f aca="true" t="shared" si="29" ref="AA32:AA37">AB32+AC32+AS32</f>
        <v>5.33245</v>
      </c>
      <c r="AB32" s="302">
        <v>2.67</v>
      </c>
      <c r="AC32" s="302">
        <f t="shared" si="22"/>
        <v>2.035</v>
      </c>
      <c r="AD32" s="302">
        <v>0.7</v>
      </c>
      <c r="AE32" s="302"/>
      <c r="AF32" s="302"/>
      <c r="AG32" s="302">
        <f t="shared" si="23"/>
        <v>1.335</v>
      </c>
      <c r="AH32" s="302"/>
      <c r="AI32" s="302"/>
      <c r="AJ32" s="302"/>
      <c r="AK32" s="302"/>
      <c r="AL32" s="302"/>
      <c r="AM32" s="302"/>
      <c r="AN32" s="302"/>
      <c r="AO32" s="302"/>
      <c r="AP32" s="302"/>
      <c r="AQ32" s="302"/>
      <c r="AR32" s="302"/>
      <c r="AS32" s="432">
        <f t="shared" si="24"/>
        <v>0.62745</v>
      </c>
      <c r="AT32" s="303">
        <f>AA32*8*1490000</f>
        <v>63562804</v>
      </c>
      <c r="AU32" s="19"/>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row>
    <row r="33" spans="1:75" ht="15.75">
      <c r="A33" s="272">
        <v>2</v>
      </c>
      <c r="B33" s="273" t="s">
        <v>158</v>
      </c>
      <c r="C33" s="416"/>
      <c r="D33" s="416"/>
      <c r="E33" s="274">
        <f t="shared" si="25"/>
        <v>5.33245</v>
      </c>
      <c r="F33" s="275">
        <v>2.67</v>
      </c>
      <c r="G33" s="274">
        <f t="shared" si="26"/>
        <v>2.035</v>
      </c>
      <c r="H33" s="274">
        <v>0.7</v>
      </c>
      <c r="I33" s="274"/>
      <c r="J33" s="274"/>
      <c r="K33" s="274">
        <f>(F33+I33+J33)*0.5</f>
        <v>1.335</v>
      </c>
      <c r="L33" s="274"/>
      <c r="M33" s="274"/>
      <c r="N33" s="274"/>
      <c r="O33" s="274"/>
      <c r="P33" s="274"/>
      <c r="Q33" s="274"/>
      <c r="R33" s="274"/>
      <c r="S33" s="275"/>
      <c r="T33" s="274"/>
      <c r="U33" s="274"/>
      <c r="V33" s="274"/>
      <c r="W33" s="274"/>
      <c r="X33" s="274">
        <f t="shared" si="27"/>
        <v>0.62745</v>
      </c>
      <c r="Y33" s="277">
        <f t="shared" si="28"/>
        <v>95344206</v>
      </c>
      <c r="Z33" s="304"/>
      <c r="AA33" s="302">
        <f t="shared" si="29"/>
        <v>5.33245</v>
      </c>
      <c r="AB33" s="302">
        <v>2.67</v>
      </c>
      <c r="AC33" s="302">
        <f t="shared" si="22"/>
        <v>2.035</v>
      </c>
      <c r="AD33" s="302">
        <v>0.7</v>
      </c>
      <c r="AE33" s="305"/>
      <c r="AF33" s="305"/>
      <c r="AG33" s="302">
        <f t="shared" si="23"/>
        <v>1.335</v>
      </c>
      <c r="AH33" s="305"/>
      <c r="AI33" s="305"/>
      <c r="AJ33" s="305"/>
      <c r="AK33" s="305"/>
      <c r="AL33" s="305"/>
      <c r="AM33" s="305"/>
      <c r="AN33" s="305"/>
      <c r="AO33" s="305"/>
      <c r="AP33" s="305"/>
      <c r="AQ33" s="305"/>
      <c r="AR33" s="305"/>
      <c r="AS33" s="432">
        <f t="shared" si="24"/>
        <v>0.62745</v>
      </c>
      <c r="AT33" s="303">
        <f>AA33*12*1490000</f>
        <v>95344206</v>
      </c>
      <c r="AU33" s="19"/>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row>
    <row r="34" spans="1:75" ht="15.75">
      <c r="A34" s="272">
        <v>3</v>
      </c>
      <c r="B34" s="273" t="s">
        <v>157</v>
      </c>
      <c r="C34" s="416"/>
      <c r="D34" s="416"/>
      <c r="E34" s="274">
        <f t="shared" si="25"/>
        <v>4.7599</v>
      </c>
      <c r="F34" s="275">
        <v>2.34</v>
      </c>
      <c r="G34" s="274">
        <f t="shared" si="26"/>
        <v>1.8699999999999999</v>
      </c>
      <c r="H34" s="274">
        <v>0.7</v>
      </c>
      <c r="I34" s="274"/>
      <c r="J34" s="274"/>
      <c r="K34" s="274">
        <f>(F34+I34+J34)*0.5</f>
        <v>1.17</v>
      </c>
      <c r="L34" s="274"/>
      <c r="M34" s="274"/>
      <c r="N34" s="274"/>
      <c r="O34" s="274"/>
      <c r="P34" s="274"/>
      <c r="Q34" s="274"/>
      <c r="R34" s="274"/>
      <c r="S34" s="275"/>
      <c r="T34" s="274"/>
      <c r="U34" s="274"/>
      <c r="V34" s="274"/>
      <c r="W34" s="274"/>
      <c r="X34" s="274">
        <f t="shared" si="27"/>
        <v>0.5498999999999999</v>
      </c>
      <c r="Y34" s="277">
        <f t="shared" si="28"/>
        <v>85107012</v>
      </c>
      <c r="Z34" s="283"/>
      <c r="AA34" s="302">
        <f t="shared" si="29"/>
        <v>4.7599</v>
      </c>
      <c r="AB34" s="302">
        <v>2.34</v>
      </c>
      <c r="AC34" s="302">
        <f t="shared" si="22"/>
        <v>1.8699999999999999</v>
      </c>
      <c r="AD34" s="302">
        <v>0.7</v>
      </c>
      <c r="AE34" s="283"/>
      <c r="AF34" s="283"/>
      <c r="AG34" s="302">
        <f t="shared" si="23"/>
        <v>1.17</v>
      </c>
      <c r="AH34" s="283"/>
      <c r="AI34" s="283"/>
      <c r="AJ34" s="283"/>
      <c r="AK34" s="283"/>
      <c r="AL34" s="283"/>
      <c r="AM34" s="283"/>
      <c r="AN34" s="283"/>
      <c r="AO34" s="283"/>
      <c r="AP34" s="283"/>
      <c r="AQ34" s="283"/>
      <c r="AR34" s="283"/>
      <c r="AS34" s="432">
        <f t="shared" si="24"/>
        <v>0.5498999999999999</v>
      </c>
      <c r="AT34" s="303">
        <f>AA34*12*1490000</f>
        <v>85107012</v>
      </c>
      <c r="AU34" s="19"/>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row>
    <row r="35" spans="1:75" ht="15.75">
      <c r="A35" s="272">
        <v>4</v>
      </c>
      <c r="B35" s="273" t="s">
        <v>156</v>
      </c>
      <c r="C35" s="416"/>
      <c r="D35" s="416"/>
      <c r="E35" s="274">
        <f t="shared" si="25"/>
        <v>4.7599</v>
      </c>
      <c r="F35" s="275">
        <v>2.34</v>
      </c>
      <c r="G35" s="274">
        <f t="shared" si="26"/>
        <v>1.8699999999999999</v>
      </c>
      <c r="H35" s="274">
        <v>0.7</v>
      </c>
      <c r="I35" s="274"/>
      <c r="J35" s="274"/>
      <c r="K35" s="274">
        <f>(F35+I35+J35)*0.5</f>
        <v>1.17</v>
      </c>
      <c r="L35" s="274"/>
      <c r="M35" s="274"/>
      <c r="N35" s="274"/>
      <c r="O35" s="274"/>
      <c r="P35" s="274"/>
      <c r="Q35" s="274"/>
      <c r="R35" s="274"/>
      <c r="S35" s="275"/>
      <c r="T35" s="274"/>
      <c r="U35" s="274"/>
      <c r="V35" s="274"/>
      <c r="W35" s="274"/>
      <c r="X35" s="274">
        <f t="shared" si="27"/>
        <v>0.5498999999999999</v>
      </c>
      <c r="Y35" s="277">
        <f t="shared" si="28"/>
        <v>85107012</v>
      </c>
      <c r="Z35" s="283"/>
      <c r="AA35" s="302">
        <f t="shared" si="29"/>
        <v>4.7599</v>
      </c>
      <c r="AB35" s="302">
        <v>2.34</v>
      </c>
      <c r="AC35" s="302">
        <f t="shared" si="22"/>
        <v>1.8699999999999999</v>
      </c>
      <c r="AD35" s="302">
        <v>0.7</v>
      </c>
      <c r="AE35" s="283"/>
      <c r="AF35" s="283"/>
      <c r="AG35" s="302">
        <f t="shared" si="23"/>
        <v>1.17</v>
      </c>
      <c r="AH35" s="283"/>
      <c r="AI35" s="283"/>
      <c r="AJ35" s="283"/>
      <c r="AK35" s="283"/>
      <c r="AL35" s="283"/>
      <c r="AM35" s="283"/>
      <c r="AN35" s="283"/>
      <c r="AO35" s="283"/>
      <c r="AP35" s="283"/>
      <c r="AQ35" s="283"/>
      <c r="AR35" s="283"/>
      <c r="AS35" s="432">
        <f t="shared" si="24"/>
        <v>0.5498999999999999</v>
      </c>
      <c r="AT35" s="303">
        <f>AA35*12*1490000</f>
        <v>85107012</v>
      </c>
      <c r="AU35" s="19"/>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row>
    <row r="36" spans="1:75" ht="15.75">
      <c r="A36" s="272">
        <v>5</v>
      </c>
      <c r="B36" s="273" t="s">
        <v>155</v>
      </c>
      <c r="C36" s="416"/>
      <c r="D36" s="416"/>
      <c r="E36" s="274">
        <f t="shared" si="25"/>
        <v>4.7599</v>
      </c>
      <c r="F36" s="275">
        <v>2.34</v>
      </c>
      <c r="G36" s="274">
        <f t="shared" si="26"/>
        <v>1.8699999999999999</v>
      </c>
      <c r="H36" s="274">
        <v>0.7</v>
      </c>
      <c r="I36" s="274"/>
      <c r="J36" s="274"/>
      <c r="K36" s="274">
        <f>(F36+I36+J36)*0.5</f>
        <v>1.17</v>
      </c>
      <c r="L36" s="274"/>
      <c r="M36" s="274"/>
      <c r="N36" s="274"/>
      <c r="O36" s="274"/>
      <c r="P36" s="274"/>
      <c r="Q36" s="274"/>
      <c r="R36" s="274"/>
      <c r="S36" s="275"/>
      <c r="T36" s="274"/>
      <c r="U36" s="274"/>
      <c r="V36" s="274"/>
      <c r="W36" s="274"/>
      <c r="X36" s="274">
        <f t="shared" si="27"/>
        <v>0.5498999999999999</v>
      </c>
      <c r="Y36" s="277">
        <f t="shared" si="28"/>
        <v>85107012</v>
      </c>
      <c r="Z36" s="283"/>
      <c r="AA36" s="302">
        <f t="shared" si="29"/>
        <v>4.7599</v>
      </c>
      <c r="AB36" s="302">
        <v>2.34</v>
      </c>
      <c r="AC36" s="302">
        <f t="shared" si="22"/>
        <v>1.8699999999999999</v>
      </c>
      <c r="AD36" s="302">
        <v>0.7</v>
      </c>
      <c r="AE36" s="283"/>
      <c r="AF36" s="283"/>
      <c r="AG36" s="302">
        <f t="shared" si="23"/>
        <v>1.17</v>
      </c>
      <c r="AH36" s="283"/>
      <c r="AI36" s="283"/>
      <c r="AJ36" s="283"/>
      <c r="AK36" s="283"/>
      <c r="AL36" s="283"/>
      <c r="AM36" s="283"/>
      <c r="AN36" s="283"/>
      <c r="AO36" s="283"/>
      <c r="AP36" s="283"/>
      <c r="AQ36" s="283"/>
      <c r="AR36" s="283"/>
      <c r="AS36" s="432">
        <f t="shared" si="24"/>
        <v>0.5498999999999999</v>
      </c>
      <c r="AT36" s="303">
        <f>AA36*12*1490000</f>
        <v>85107012</v>
      </c>
      <c r="AU36" s="19"/>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row>
    <row r="37" spans="1:75" ht="15.75">
      <c r="A37" s="272">
        <v>6</v>
      </c>
      <c r="B37" s="273" t="s">
        <v>144</v>
      </c>
      <c r="C37" s="416"/>
      <c r="D37" s="416"/>
      <c r="E37" s="274">
        <f t="shared" si="25"/>
        <v>2.8899</v>
      </c>
      <c r="F37" s="275">
        <f>1*2.34</f>
        <v>2.34</v>
      </c>
      <c r="G37" s="274">
        <f t="shared" si="26"/>
        <v>0</v>
      </c>
      <c r="H37" s="274"/>
      <c r="I37" s="274"/>
      <c r="J37" s="274"/>
      <c r="K37" s="274"/>
      <c r="L37" s="274"/>
      <c r="M37" s="274"/>
      <c r="N37" s="274"/>
      <c r="O37" s="274"/>
      <c r="P37" s="274"/>
      <c r="Q37" s="274"/>
      <c r="R37" s="274"/>
      <c r="S37" s="275"/>
      <c r="T37" s="274"/>
      <c r="U37" s="274"/>
      <c r="V37" s="274"/>
      <c r="W37" s="274"/>
      <c r="X37" s="274">
        <f t="shared" si="27"/>
        <v>0.5498999999999999</v>
      </c>
      <c r="Y37" s="277">
        <f t="shared" si="28"/>
        <v>51671412</v>
      </c>
      <c r="Z37" s="283"/>
      <c r="AA37" s="302">
        <f t="shared" si="29"/>
        <v>2.8899</v>
      </c>
      <c r="AB37" s="283">
        <v>2.34</v>
      </c>
      <c r="AC37" s="302">
        <f t="shared" si="22"/>
        <v>0</v>
      </c>
      <c r="AD37" s="283"/>
      <c r="AE37" s="283"/>
      <c r="AF37" s="283"/>
      <c r="AG37" s="283"/>
      <c r="AH37" s="283"/>
      <c r="AI37" s="283"/>
      <c r="AJ37" s="283"/>
      <c r="AK37" s="283"/>
      <c r="AL37" s="283"/>
      <c r="AM37" s="283"/>
      <c r="AN37" s="283"/>
      <c r="AO37" s="283"/>
      <c r="AP37" s="283"/>
      <c r="AQ37" s="283"/>
      <c r="AR37" s="283"/>
      <c r="AS37" s="432">
        <f>AB37*23.5%</f>
        <v>0.5498999999999999</v>
      </c>
      <c r="AT37" s="303">
        <f>AA37*12*1490000</f>
        <v>51671411.99999999</v>
      </c>
      <c r="AU37" s="19"/>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row>
    <row r="38" spans="1:75" ht="31.5">
      <c r="A38" s="265">
        <v>9</v>
      </c>
      <c r="B38" s="266" t="s">
        <v>154</v>
      </c>
      <c r="C38" s="414"/>
      <c r="D38" s="414"/>
      <c r="E38" s="262">
        <f aca="true" t="shared" si="30" ref="E38:Y38">E39+E87</f>
        <v>635.8915</v>
      </c>
      <c r="F38" s="262">
        <f t="shared" si="30"/>
        <v>267.26</v>
      </c>
      <c r="G38" s="262">
        <f t="shared" si="30"/>
        <v>305.192</v>
      </c>
      <c r="H38" s="262">
        <f t="shared" si="30"/>
        <v>48.29999999999999</v>
      </c>
      <c r="I38" s="262">
        <f t="shared" si="30"/>
        <v>13.8</v>
      </c>
      <c r="J38" s="262">
        <f t="shared" si="30"/>
        <v>0</v>
      </c>
      <c r="K38" s="262">
        <f t="shared" si="30"/>
        <v>126.49000000000001</v>
      </c>
      <c r="L38" s="262">
        <f t="shared" si="30"/>
        <v>0</v>
      </c>
      <c r="M38" s="262">
        <f t="shared" si="30"/>
        <v>0.512</v>
      </c>
      <c r="N38" s="262">
        <f t="shared" si="30"/>
        <v>0</v>
      </c>
      <c r="O38" s="262">
        <f t="shared" si="30"/>
        <v>63.245000000000005</v>
      </c>
      <c r="P38" s="262">
        <f t="shared" si="30"/>
        <v>0</v>
      </c>
      <c r="Q38" s="262">
        <f t="shared" si="30"/>
        <v>0</v>
      </c>
      <c r="R38" s="262">
        <f t="shared" si="30"/>
        <v>0</v>
      </c>
      <c r="S38" s="262">
        <f t="shared" si="30"/>
        <v>0</v>
      </c>
      <c r="T38" s="262">
        <f t="shared" si="30"/>
        <v>44.53799999999998</v>
      </c>
      <c r="U38" s="262">
        <f t="shared" si="30"/>
        <v>1.835</v>
      </c>
      <c r="V38" s="262">
        <f t="shared" si="30"/>
        <v>0</v>
      </c>
      <c r="W38" s="262">
        <f t="shared" si="30"/>
        <v>5.4399999999999995</v>
      </c>
      <c r="X38" s="262">
        <f t="shared" si="30"/>
        <v>63.43950000000001</v>
      </c>
      <c r="Y38" s="263">
        <f t="shared" si="30"/>
        <v>12071319704</v>
      </c>
      <c r="Z38" s="271"/>
      <c r="AA38" s="271">
        <f>AA39+AA55+AA63+AA71+AA78+AA87+AA83</f>
        <v>303.786</v>
      </c>
      <c r="AB38" s="271">
        <f aca="true" t="shared" si="31" ref="AB38:AT38">AB39+AB55+AB63+AB71+AB78+AB87+AB83</f>
        <v>138.46</v>
      </c>
      <c r="AC38" s="271">
        <f t="shared" si="31"/>
        <v>132.485</v>
      </c>
      <c r="AD38" s="271">
        <f t="shared" si="31"/>
        <v>23.799999999999997</v>
      </c>
      <c r="AE38" s="271">
        <f t="shared" si="31"/>
        <v>7.500000000000001</v>
      </c>
      <c r="AF38" s="271">
        <f t="shared" si="31"/>
        <v>0</v>
      </c>
      <c r="AG38" s="271">
        <f t="shared" si="31"/>
        <v>65.96</v>
      </c>
      <c r="AH38" s="271">
        <f t="shared" si="31"/>
        <v>0</v>
      </c>
      <c r="AI38" s="271">
        <f t="shared" si="31"/>
        <v>0</v>
      </c>
      <c r="AJ38" s="271">
        <f t="shared" si="31"/>
        <v>0</v>
      </c>
      <c r="AK38" s="271">
        <f t="shared" si="31"/>
        <v>32.98</v>
      </c>
      <c r="AL38" s="271">
        <f t="shared" si="31"/>
        <v>0</v>
      </c>
      <c r="AM38" s="271">
        <f t="shared" si="31"/>
        <v>0</v>
      </c>
      <c r="AN38" s="271">
        <f t="shared" si="31"/>
        <v>0.6</v>
      </c>
      <c r="AO38" s="271">
        <f t="shared" si="31"/>
        <v>0</v>
      </c>
      <c r="AP38" s="271">
        <f t="shared" si="31"/>
        <v>0</v>
      </c>
      <c r="AQ38" s="271">
        <f t="shared" si="31"/>
        <v>0.4850000000000001</v>
      </c>
      <c r="AR38" s="271">
        <f t="shared" si="31"/>
        <v>1.16</v>
      </c>
      <c r="AS38" s="426">
        <f t="shared" si="31"/>
        <v>32.841</v>
      </c>
      <c r="AT38" s="378">
        <f t="shared" si="31"/>
        <v>4747180030</v>
      </c>
      <c r="AU38" s="19"/>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row>
    <row r="39" spans="1:75" ht="31.5">
      <c r="A39" s="265" t="s">
        <v>153</v>
      </c>
      <c r="B39" s="266" t="s">
        <v>152</v>
      </c>
      <c r="C39" s="414"/>
      <c r="D39" s="414"/>
      <c r="E39" s="263">
        <f aca="true" t="shared" si="32" ref="E39:Y39">E40+E48+E55+E58+E63+E68+E73+E79+E84+0</f>
        <v>244.85099999999997</v>
      </c>
      <c r="F39" s="263">
        <f t="shared" si="32"/>
        <v>112.96000000000001</v>
      </c>
      <c r="G39" s="263">
        <f t="shared" si="32"/>
        <v>105.215</v>
      </c>
      <c r="H39" s="263">
        <f t="shared" si="32"/>
        <v>18.900000000000002</v>
      </c>
      <c r="I39" s="263">
        <f t="shared" si="32"/>
        <v>5.6000000000000005</v>
      </c>
      <c r="J39" s="263">
        <f t="shared" si="32"/>
        <v>0</v>
      </c>
      <c r="K39" s="263">
        <f t="shared" si="32"/>
        <v>52.260000000000005</v>
      </c>
      <c r="L39" s="263">
        <f t="shared" si="32"/>
        <v>0</v>
      </c>
      <c r="M39" s="263">
        <f t="shared" si="32"/>
        <v>0</v>
      </c>
      <c r="N39" s="263">
        <f t="shared" si="32"/>
        <v>0</v>
      </c>
      <c r="O39" s="263">
        <f t="shared" si="32"/>
        <v>26.130000000000003</v>
      </c>
      <c r="P39" s="263">
        <f t="shared" si="32"/>
        <v>0</v>
      </c>
      <c r="Q39" s="263">
        <f t="shared" si="32"/>
        <v>0</v>
      </c>
      <c r="R39" s="263">
        <f t="shared" si="32"/>
        <v>0</v>
      </c>
      <c r="S39" s="263">
        <f t="shared" si="32"/>
        <v>0</v>
      </c>
      <c r="T39" s="263">
        <f t="shared" si="32"/>
        <v>0</v>
      </c>
      <c r="U39" s="263">
        <f t="shared" si="32"/>
        <v>1.385</v>
      </c>
      <c r="V39" s="263">
        <f t="shared" si="32"/>
        <v>0</v>
      </c>
      <c r="W39" s="263">
        <f t="shared" si="32"/>
        <v>0.94</v>
      </c>
      <c r="X39" s="263">
        <f t="shared" si="32"/>
        <v>26.676000000000002</v>
      </c>
      <c r="Y39" s="263">
        <f t="shared" si="32"/>
        <v>5079515500</v>
      </c>
      <c r="Z39" s="290"/>
      <c r="AA39" s="290">
        <f>AA40</f>
        <v>82.86</v>
      </c>
      <c r="AB39" s="290">
        <f aca="true" t="shared" si="33" ref="AB39:AS39">AB40</f>
        <v>34.400000000000006</v>
      </c>
      <c r="AC39" s="290">
        <f t="shared" si="33"/>
        <v>39.82</v>
      </c>
      <c r="AD39" s="290">
        <f t="shared" si="33"/>
        <v>6.300000000000001</v>
      </c>
      <c r="AE39" s="290">
        <f t="shared" si="33"/>
        <v>4.000000000000001</v>
      </c>
      <c r="AF39" s="290">
        <f t="shared" si="33"/>
        <v>0</v>
      </c>
      <c r="AG39" s="290">
        <f t="shared" si="33"/>
        <v>19.2</v>
      </c>
      <c r="AH39" s="290">
        <f t="shared" si="33"/>
        <v>0</v>
      </c>
      <c r="AI39" s="290">
        <f t="shared" si="33"/>
        <v>0</v>
      </c>
      <c r="AJ39" s="290">
        <f t="shared" si="33"/>
        <v>0</v>
      </c>
      <c r="AK39" s="290">
        <f t="shared" si="33"/>
        <v>9.6</v>
      </c>
      <c r="AL39" s="290">
        <f t="shared" si="33"/>
        <v>0</v>
      </c>
      <c r="AM39" s="290">
        <f t="shared" si="33"/>
        <v>0</v>
      </c>
      <c r="AN39" s="290">
        <f t="shared" si="33"/>
        <v>0</v>
      </c>
      <c r="AO39" s="290">
        <f t="shared" si="33"/>
        <v>0</v>
      </c>
      <c r="AP39" s="290">
        <f t="shared" si="33"/>
        <v>0</v>
      </c>
      <c r="AQ39" s="290">
        <f t="shared" si="33"/>
        <v>0</v>
      </c>
      <c r="AR39" s="290">
        <f t="shared" si="33"/>
        <v>0.72</v>
      </c>
      <c r="AS39" s="429">
        <f t="shared" si="33"/>
        <v>8.64</v>
      </c>
      <c r="AT39" s="452">
        <f>AT40+AT50</f>
        <v>1325507152.5</v>
      </c>
      <c r="AU39" s="19"/>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row>
    <row r="40" spans="1:75" ht="15.75">
      <c r="A40" s="286" t="s">
        <v>151</v>
      </c>
      <c r="B40" s="287" t="s">
        <v>150</v>
      </c>
      <c r="C40" s="415">
        <v>6</v>
      </c>
      <c r="D40" s="415">
        <v>6</v>
      </c>
      <c r="E40" s="269">
        <f aca="true" t="shared" si="34" ref="E40:X40">SUM(E41:E47)</f>
        <v>62.33025</v>
      </c>
      <c r="F40" s="269">
        <f t="shared" si="34"/>
        <v>26.190000000000005</v>
      </c>
      <c r="G40" s="269">
        <f t="shared" si="34"/>
        <v>29.5725</v>
      </c>
      <c r="H40" s="269">
        <f t="shared" si="34"/>
        <v>4.2</v>
      </c>
      <c r="I40" s="269">
        <f t="shared" si="34"/>
        <v>3</v>
      </c>
      <c r="J40" s="269">
        <f t="shared" si="34"/>
        <v>0</v>
      </c>
      <c r="K40" s="269">
        <f t="shared" si="34"/>
        <v>14.595</v>
      </c>
      <c r="L40" s="269">
        <f t="shared" si="34"/>
        <v>0</v>
      </c>
      <c r="M40" s="269">
        <f t="shared" si="34"/>
        <v>0</v>
      </c>
      <c r="N40" s="269">
        <f t="shared" si="34"/>
        <v>0</v>
      </c>
      <c r="O40" s="269">
        <f t="shared" si="34"/>
        <v>7.2975</v>
      </c>
      <c r="P40" s="269">
        <f t="shared" si="34"/>
        <v>0</v>
      </c>
      <c r="Q40" s="269">
        <f t="shared" si="34"/>
        <v>0</v>
      </c>
      <c r="R40" s="269">
        <f t="shared" si="34"/>
        <v>0</v>
      </c>
      <c r="S40" s="269">
        <f t="shared" si="34"/>
        <v>0</v>
      </c>
      <c r="T40" s="269">
        <f t="shared" si="34"/>
        <v>0</v>
      </c>
      <c r="U40" s="269">
        <f t="shared" si="34"/>
        <v>0</v>
      </c>
      <c r="V40" s="269">
        <f t="shared" si="34"/>
        <v>0</v>
      </c>
      <c r="W40" s="269">
        <f t="shared" si="34"/>
        <v>0.48</v>
      </c>
      <c r="X40" s="269">
        <f t="shared" si="34"/>
        <v>6.56775</v>
      </c>
      <c r="Y40" s="270">
        <f>ROUNDUP(SUM(Y41:Y47),-3)</f>
        <v>1114465000</v>
      </c>
      <c r="Z40" s="290">
        <v>6</v>
      </c>
      <c r="AA40" s="306">
        <f aca="true" t="shared" si="35" ref="AA40:AS40">SUM(AA41:AA49)</f>
        <v>82.86</v>
      </c>
      <c r="AB40" s="306">
        <f>SUM(AB41:AB49)</f>
        <v>34.400000000000006</v>
      </c>
      <c r="AC40" s="306">
        <f t="shared" si="35"/>
        <v>39.82</v>
      </c>
      <c r="AD40" s="306">
        <f t="shared" si="35"/>
        <v>6.300000000000001</v>
      </c>
      <c r="AE40" s="306">
        <f t="shared" si="35"/>
        <v>4.000000000000001</v>
      </c>
      <c r="AF40" s="306">
        <f t="shared" si="35"/>
        <v>0</v>
      </c>
      <c r="AG40" s="306">
        <f t="shared" si="35"/>
        <v>19.2</v>
      </c>
      <c r="AH40" s="306">
        <f t="shared" si="35"/>
        <v>0</v>
      </c>
      <c r="AI40" s="306">
        <f t="shared" si="35"/>
        <v>0</v>
      </c>
      <c r="AJ40" s="306">
        <f t="shared" si="35"/>
        <v>0</v>
      </c>
      <c r="AK40" s="306">
        <f t="shared" si="35"/>
        <v>9.6</v>
      </c>
      <c r="AL40" s="306">
        <f t="shared" si="35"/>
        <v>0</v>
      </c>
      <c r="AM40" s="306">
        <f t="shared" si="35"/>
        <v>0</v>
      </c>
      <c r="AN40" s="306">
        <f t="shared" si="35"/>
        <v>0</v>
      </c>
      <c r="AO40" s="306">
        <f t="shared" si="35"/>
        <v>0</v>
      </c>
      <c r="AP40" s="306">
        <f t="shared" si="35"/>
        <v>0</v>
      </c>
      <c r="AQ40" s="306">
        <f t="shared" si="35"/>
        <v>0</v>
      </c>
      <c r="AR40" s="306">
        <f t="shared" si="35"/>
        <v>0.72</v>
      </c>
      <c r="AS40" s="433">
        <f t="shared" si="35"/>
        <v>8.64</v>
      </c>
      <c r="AT40" s="454">
        <f>SUM(AT41:AT49)</f>
        <v>1043927152.5</v>
      </c>
      <c r="AU40" s="14"/>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row>
    <row r="41" spans="1:75" ht="15.75">
      <c r="A41" s="272">
        <v>1</v>
      </c>
      <c r="B41" s="273" t="s">
        <v>43</v>
      </c>
      <c r="C41" s="416"/>
      <c r="D41" s="416"/>
      <c r="E41" s="274">
        <f aca="true" t="shared" si="36" ref="E41:E46">F41+G41+X41</f>
        <v>11.444</v>
      </c>
      <c r="F41" s="275">
        <v>4.74</v>
      </c>
      <c r="G41" s="274">
        <f aca="true" t="shared" si="37" ref="G41:G46">H41+I41+J41+K41+L41+M41+N41+O41+P41+Q41+R41+S41+T41+U41+W41</f>
        <v>5.48</v>
      </c>
      <c r="H41" s="274">
        <v>0.7</v>
      </c>
      <c r="I41" s="274">
        <v>0.7</v>
      </c>
      <c r="J41" s="274"/>
      <c r="K41" s="274">
        <f aca="true" t="shared" si="38" ref="K41:K46">(F41+I41)*50%</f>
        <v>2.72</v>
      </c>
      <c r="L41" s="274"/>
      <c r="M41" s="274"/>
      <c r="N41" s="274"/>
      <c r="O41" s="289">
        <f aca="true" t="shared" si="39" ref="O41:O46">(F41+I41)*25%</f>
        <v>1.36</v>
      </c>
      <c r="P41" s="274"/>
      <c r="Q41" s="274"/>
      <c r="R41" s="274"/>
      <c r="S41" s="275"/>
      <c r="T41" s="274"/>
      <c r="U41" s="274"/>
      <c r="V41" s="274"/>
      <c r="W41" s="274"/>
      <c r="X41" s="274">
        <f aca="true" t="shared" si="40" ref="X41:X46">(F41+I41)*22.5%</f>
        <v>1.2240000000000002</v>
      </c>
      <c r="Y41" s="277">
        <f aca="true" t="shared" si="41" ref="Y41:Y46">E41*1490000*12</f>
        <v>204618720</v>
      </c>
      <c r="Z41" s="307"/>
      <c r="AA41" s="307">
        <f aca="true" t="shared" si="42" ref="AA41:AA49">AB41+AC41+AS41</f>
        <v>12.1155</v>
      </c>
      <c r="AB41" s="308">
        <v>5.08</v>
      </c>
      <c r="AC41" s="307">
        <f aca="true" t="shared" si="43" ref="AC41:AC48">SUM(AD41:AR41)</f>
        <v>5.735</v>
      </c>
      <c r="AD41" s="307">
        <v>0.7</v>
      </c>
      <c r="AE41" s="307">
        <v>0.7</v>
      </c>
      <c r="AF41" s="307"/>
      <c r="AG41" s="307">
        <f aca="true" t="shared" si="44" ref="AG41:AG49">0.5*(AB41+AE41)</f>
        <v>2.89</v>
      </c>
      <c r="AH41" s="307"/>
      <c r="AI41" s="307"/>
      <c r="AJ41" s="307"/>
      <c r="AK41" s="307">
        <f aca="true" t="shared" si="45" ref="AK41:AK49">0.25*(AB41+AE41)</f>
        <v>1.445</v>
      </c>
      <c r="AL41" s="307"/>
      <c r="AM41" s="307"/>
      <c r="AN41" s="307"/>
      <c r="AO41" s="307"/>
      <c r="AP41" s="307"/>
      <c r="AQ41" s="307"/>
      <c r="AR41" s="307"/>
      <c r="AS41" s="434">
        <f aca="true" t="shared" si="46" ref="AS41:AS49">(AB41+AE41)*22.5%</f>
        <v>1.3005</v>
      </c>
      <c r="AT41" s="455">
        <f>AA41*1490000*12</f>
        <v>216625140</v>
      </c>
      <c r="AU41" s="4"/>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row>
    <row r="42" spans="1:75" ht="15.75">
      <c r="A42" s="272">
        <v>2</v>
      </c>
      <c r="B42" s="273" t="s">
        <v>149</v>
      </c>
      <c r="C42" s="416"/>
      <c r="D42" s="416"/>
      <c r="E42" s="274">
        <f t="shared" si="36"/>
        <v>9.76525</v>
      </c>
      <c r="F42" s="275">
        <v>3.99</v>
      </c>
      <c r="G42" s="274">
        <f t="shared" si="37"/>
        <v>4.7425</v>
      </c>
      <c r="H42" s="274">
        <v>0.7</v>
      </c>
      <c r="I42" s="274">
        <v>0.6</v>
      </c>
      <c r="J42" s="274"/>
      <c r="K42" s="274">
        <f t="shared" si="38"/>
        <v>2.295</v>
      </c>
      <c r="L42" s="274"/>
      <c r="M42" s="274"/>
      <c r="N42" s="274"/>
      <c r="O42" s="289">
        <f t="shared" si="39"/>
        <v>1.1475</v>
      </c>
      <c r="P42" s="274"/>
      <c r="Q42" s="274"/>
      <c r="R42" s="274"/>
      <c r="S42" s="275"/>
      <c r="T42" s="274"/>
      <c r="U42" s="274"/>
      <c r="V42" s="274"/>
      <c r="W42" s="274"/>
      <c r="X42" s="274">
        <f t="shared" si="40"/>
        <v>1.03275</v>
      </c>
      <c r="Y42" s="277">
        <f t="shared" si="41"/>
        <v>174602670</v>
      </c>
      <c r="Z42" s="307"/>
      <c r="AA42" s="307">
        <f t="shared" si="42"/>
        <v>9.1135</v>
      </c>
      <c r="AB42" s="307">
        <v>3.66</v>
      </c>
      <c r="AC42" s="307">
        <f t="shared" si="43"/>
        <v>4.494999999999999</v>
      </c>
      <c r="AD42" s="307">
        <v>0.7</v>
      </c>
      <c r="AE42" s="307">
        <v>0.6</v>
      </c>
      <c r="AF42" s="307"/>
      <c r="AG42" s="307">
        <f t="shared" si="44"/>
        <v>2.13</v>
      </c>
      <c r="AH42" s="307"/>
      <c r="AI42" s="307"/>
      <c r="AJ42" s="307"/>
      <c r="AK42" s="307">
        <f t="shared" si="45"/>
        <v>1.065</v>
      </c>
      <c r="AL42" s="307"/>
      <c r="AM42" s="307"/>
      <c r="AN42" s="307"/>
      <c r="AO42" s="307"/>
      <c r="AP42" s="307"/>
      <c r="AQ42" s="307"/>
      <c r="AR42" s="307"/>
      <c r="AS42" s="434">
        <f t="shared" si="46"/>
        <v>0.9585</v>
      </c>
      <c r="AT42" s="455">
        <f>AA42*1490000*3</f>
        <v>40737345</v>
      </c>
      <c r="AU42" s="4"/>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row>
    <row r="43" spans="1:75" ht="15.75">
      <c r="A43" s="272">
        <v>3</v>
      </c>
      <c r="B43" s="273" t="s">
        <v>34</v>
      </c>
      <c r="C43" s="416"/>
      <c r="D43" s="416"/>
      <c r="E43" s="274">
        <f t="shared" si="36"/>
        <v>10.854500000000002</v>
      </c>
      <c r="F43" s="275">
        <v>4.32</v>
      </c>
      <c r="G43" s="274">
        <f t="shared" si="37"/>
        <v>5.405</v>
      </c>
      <c r="H43" s="274">
        <v>0.7</v>
      </c>
      <c r="I43" s="274">
        <v>0.7</v>
      </c>
      <c r="J43" s="274"/>
      <c r="K43" s="274">
        <f t="shared" si="38"/>
        <v>2.5100000000000002</v>
      </c>
      <c r="L43" s="274"/>
      <c r="M43" s="274"/>
      <c r="N43" s="274"/>
      <c r="O43" s="289">
        <f t="shared" si="39"/>
        <v>1.2550000000000001</v>
      </c>
      <c r="P43" s="274"/>
      <c r="Q43" s="274"/>
      <c r="R43" s="274"/>
      <c r="S43" s="275"/>
      <c r="T43" s="274"/>
      <c r="U43" s="274"/>
      <c r="V43" s="274"/>
      <c r="W43" s="274">
        <v>0.24</v>
      </c>
      <c r="X43" s="274">
        <f t="shared" si="40"/>
        <v>1.1295000000000002</v>
      </c>
      <c r="Y43" s="277">
        <f t="shared" si="41"/>
        <v>194078460.00000003</v>
      </c>
      <c r="Z43" s="307"/>
      <c r="AA43" s="307">
        <f t="shared" si="42"/>
        <v>9.76525</v>
      </c>
      <c r="AB43" s="308">
        <v>3.99</v>
      </c>
      <c r="AC43" s="307">
        <f t="shared" si="43"/>
        <v>4.7425</v>
      </c>
      <c r="AD43" s="307">
        <v>0.7</v>
      </c>
      <c r="AE43" s="307">
        <v>0.6</v>
      </c>
      <c r="AF43" s="307"/>
      <c r="AG43" s="307">
        <f t="shared" si="44"/>
        <v>2.295</v>
      </c>
      <c r="AH43" s="307"/>
      <c r="AI43" s="307"/>
      <c r="AJ43" s="307"/>
      <c r="AK43" s="307">
        <f t="shared" si="45"/>
        <v>1.1475</v>
      </c>
      <c r="AL43" s="307"/>
      <c r="AM43" s="307"/>
      <c r="AN43" s="307"/>
      <c r="AO43" s="307"/>
      <c r="AP43" s="307"/>
      <c r="AQ43" s="307"/>
      <c r="AR43" s="307"/>
      <c r="AS43" s="434">
        <f t="shared" si="46"/>
        <v>1.03275</v>
      </c>
      <c r="AT43" s="455">
        <f>AA43*1490000*9</f>
        <v>130952002.5</v>
      </c>
      <c r="AU43" s="4"/>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row>
    <row r="44" spans="1:75" ht="15.75">
      <c r="A44" s="272">
        <v>4</v>
      </c>
      <c r="B44" s="273" t="s">
        <v>62</v>
      </c>
      <c r="C44" s="416"/>
      <c r="D44" s="416"/>
      <c r="E44" s="274">
        <f t="shared" si="36"/>
        <v>15.275500000000001</v>
      </c>
      <c r="F44" s="275">
        <v>6.78</v>
      </c>
      <c r="G44" s="274">
        <f t="shared" si="37"/>
        <v>6.835</v>
      </c>
      <c r="H44" s="274">
        <v>0.7</v>
      </c>
      <c r="I44" s="274">
        <v>0.6</v>
      </c>
      <c r="J44" s="274"/>
      <c r="K44" s="274">
        <f t="shared" si="38"/>
        <v>3.69</v>
      </c>
      <c r="L44" s="274"/>
      <c r="M44" s="274"/>
      <c r="N44" s="274"/>
      <c r="O44" s="289">
        <f t="shared" si="39"/>
        <v>1.845</v>
      </c>
      <c r="P44" s="274"/>
      <c r="Q44" s="274"/>
      <c r="R44" s="274"/>
      <c r="S44" s="275"/>
      <c r="T44" s="274"/>
      <c r="U44" s="274"/>
      <c r="V44" s="274"/>
      <c r="W44" s="274"/>
      <c r="X44" s="274">
        <f t="shared" si="40"/>
        <v>1.6605</v>
      </c>
      <c r="Y44" s="277">
        <f t="shared" si="41"/>
        <v>273125940</v>
      </c>
      <c r="Z44" s="307"/>
      <c r="AA44" s="307">
        <f t="shared" si="42"/>
        <v>9.76525</v>
      </c>
      <c r="AB44" s="307">
        <v>3.99</v>
      </c>
      <c r="AC44" s="307">
        <f t="shared" si="43"/>
        <v>4.7425</v>
      </c>
      <c r="AD44" s="307">
        <v>0.7</v>
      </c>
      <c r="AE44" s="307">
        <v>0.6</v>
      </c>
      <c r="AF44" s="307"/>
      <c r="AG44" s="307">
        <f t="shared" si="44"/>
        <v>2.295</v>
      </c>
      <c r="AH44" s="307"/>
      <c r="AI44" s="307"/>
      <c r="AJ44" s="307"/>
      <c r="AK44" s="307">
        <f t="shared" si="45"/>
        <v>1.1475</v>
      </c>
      <c r="AL44" s="307"/>
      <c r="AM44" s="307"/>
      <c r="AN44" s="307"/>
      <c r="AO44" s="307"/>
      <c r="AP44" s="307"/>
      <c r="AQ44" s="307"/>
      <c r="AR44" s="307"/>
      <c r="AS44" s="434">
        <f t="shared" si="46"/>
        <v>1.03275</v>
      </c>
      <c r="AT44" s="455">
        <f>AA44*1490000*12</f>
        <v>174602670</v>
      </c>
      <c r="AU44" s="4"/>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row>
    <row r="45" spans="1:75" ht="15.75">
      <c r="A45" s="272">
        <v>5</v>
      </c>
      <c r="B45" s="273" t="s">
        <v>61</v>
      </c>
      <c r="C45" s="416"/>
      <c r="D45" s="416"/>
      <c r="E45" s="274">
        <f t="shared" si="36"/>
        <v>7.319249999999999</v>
      </c>
      <c r="F45" s="275">
        <v>3.03</v>
      </c>
      <c r="G45" s="274">
        <f t="shared" si="37"/>
        <v>3.5625</v>
      </c>
      <c r="H45" s="274">
        <v>0.7</v>
      </c>
      <c r="I45" s="274">
        <v>0.2</v>
      </c>
      <c r="J45" s="274"/>
      <c r="K45" s="274">
        <f t="shared" si="38"/>
        <v>1.615</v>
      </c>
      <c r="L45" s="274"/>
      <c r="M45" s="274"/>
      <c r="N45" s="274"/>
      <c r="O45" s="289">
        <f t="shared" si="39"/>
        <v>0.8075</v>
      </c>
      <c r="P45" s="274"/>
      <c r="Q45" s="274"/>
      <c r="R45" s="274"/>
      <c r="S45" s="275"/>
      <c r="T45" s="274"/>
      <c r="U45" s="274"/>
      <c r="V45" s="274"/>
      <c r="W45" s="274">
        <v>0.24</v>
      </c>
      <c r="X45" s="274">
        <f t="shared" si="40"/>
        <v>0.72675</v>
      </c>
      <c r="Y45" s="277">
        <f t="shared" si="41"/>
        <v>130868189.99999997</v>
      </c>
      <c r="Z45" s="307"/>
      <c r="AA45" s="307">
        <f t="shared" si="42"/>
        <v>10.854500000000002</v>
      </c>
      <c r="AB45" s="307">
        <v>4.32</v>
      </c>
      <c r="AC45" s="307">
        <f t="shared" si="43"/>
        <v>5.405</v>
      </c>
      <c r="AD45" s="307">
        <v>0.7</v>
      </c>
      <c r="AE45" s="307">
        <v>0.7</v>
      </c>
      <c r="AF45" s="307"/>
      <c r="AG45" s="307">
        <f t="shared" si="44"/>
        <v>2.5100000000000002</v>
      </c>
      <c r="AH45" s="307"/>
      <c r="AI45" s="307"/>
      <c r="AJ45" s="307"/>
      <c r="AK45" s="307">
        <f t="shared" si="45"/>
        <v>1.2550000000000001</v>
      </c>
      <c r="AL45" s="307"/>
      <c r="AM45" s="307"/>
      <c r="AN45" s="307"/>
      <c r="AO45" s="307"/>
      <c r="AP45" s="307"/>
      <c r="AQ45" s="307"/>
      <c r="AR45" s="307">
        <v>0.24</v>
      </c>
      <c r="AS45" s="434">
        <f t="shared" si="46"/>
        <v>1.1295000000000002</v>
      </c>
      <c r="AT45" s="455">
        <f>AA45*1490000*12</f>
        <v>194078460.00000003</v>
      </c>
      <c r="AU45" s="4"/>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row>
    <row r="46" spans="1:75" ht="15.75">
      <c r="A46" s="272">
        <v>6</v>
      </c>
      <c r="B46" s="273" t="s">
        <v>56</v>
      </c>
      <c r="C46" s="416"/>
      <c r="D46" s="416"/>
      <c r="E46" s="274">
        <f t="shared" si="36"/>
        <v>7.67175</v>
      </c>
      <c r="F46" s="275">
        <v>3.33</v>
      </c>
      <c r="G46" s="274">
        <f t="shared" si="37"/>
        <v>3.5475000000000003</v>
      </c>
      <c r="H46" s="274">
        <v>0.7</v>
      </c>
      <c r="I46" s="274">
        <v>0.2</v>
      </c>
      <c r="J46" s="274"/>
      <c r="K46" s="274">
        <f t="shared" si="38"/>
        <v>1.7650000000000001</v>
      </c>
      <c r="L46" s="274"/>
      <c r="M46" s="274"/>
      <c r="N46" s="274"/>
      <c r="O46" s="289">
        <f t="shared" si="39"/>
        <v>0.8825000000000001</v>
      </c>
      <c r="P46" s="274"/>
      <c r="Q46" s="274"/>
      <c r="R46" s="274"/>
      <c r="S46" s="275"/>
      <c r="T46" s="274"/>
      <c r="U46" s="274"/>
      <c r="V46" s="274"/>
      <c r="W46" s="274"/>
      <c r="X46" s="274">
        <f t="shared" si="40"/>
        <v>0.7942500000000001</v>
      </c>
      <c r="Y46" s="277">
        <f t="shared" si="41"/>
        <v>137170890</v>
      </c>
      <c r="Z46" s="307"/>
      <c r="AA46" s="307">
        <f t="shared" si="42"/>
        <v>7.319249999999999</v>
      </c>
      <c r="AB46" s="307">
        <v>3.03</v>
      </c>
      <c r="AC46" s="307">
        <f t="shared" si="43"/>
        <v>3.5625</v>
      </c>
      <c r="AD46" s="307">
        <v>0.7</v>
      </c>
      <c r="AE46" s="307">
        <v>0.2</v>
      </c>
      <c r="AF46" s="307"/>
      <c r="AG46" s="307">
        <f t="shared" si="44"/>
        <v>1.615</v>
      </c>
      <c r="AH46" s="307"/>
      <c r="AI46" s="307"/>
      <c r="AJ46" s="307"/>
      <c r="AK46" s="307">
        <f t="shared" si="45"/>
        <v>0.8075</v>
      </c>
      <c r="AL46" s="307"/>
      <c r="AM46" s="307"/>
      <c r="AN46" s="307"/>
      <c r="AO46" s="307"/>
      <c r="AP46" s="307"/>
      <c r="AQ46" s="307"/>
      <c r="AR46" s="307">
        <v>0.24</v>
      </c>
      <c r="AS46" s="434">
        <f t="shared" si="46"/>
        <v>0.72675</v>
      </c>
      <c r="AT46" s="455">
        <f>AA46*1490000*3</f>
        <v>32717047.499999993</v>
      </c>
      <c r="AU46" s="4"/>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row>
    <row r="47" spans="1:75" ht="15.75">
      <c r="A47" s="272"/>
      <c r="B47" s="273"/>
      <c r="C47" s="416"/>
      <c r="D47" s="416"/>
      <c r="E47" s="274"/>
      <c r="F47" s="275"/>
      <c r="G47" s="274"/>
      <c r="H47" s="274"/>
      <c r="I47" s="274"/>
      <c r="J47" s="274"/>
      <c r="K47" s="274"/>
      <c r="L47" s="274"/>
      <c r="M47" s="274"/>
      <c r="N47" s="274"/>
      <c r="O47" s="289"/>
      <c r="P47" s="274"/>
      <c r="Q47" s="274"/>
      <c r="R47" s="274"/>
      <c r="S47" s="275"/>
      <c r="T47" s="274"/>
      <c r="U47" s="274"/>
      <c r="V47" s="274"/>
      <c r="W47" s="274"/>
      <c r="X47" s="274"/>
      <c r="Y47" s="277"/>
      <c r="Z47" s="307"/>
      <c r="AA47" s="307">
        <f t="shared" si="42"/>
        <v>7.9315</v>
      </c>
      <c r="AB47" s="308">
        <v>3.34</v>
      </c>
      <c r="AC47" s="307">
        <f t="shared" si="43"/>
        <v>3.795</v>
      </c>
      <c r="AD47" s="307">
        <v>0.7</v>
      </c>
      <c r="AE47" s="307">
        <v>0.2</v>
      </c>
      <c r="AF47" s="307"/>
      <c r="AG47" s="307">
        <f t="shared" si="44"/>
        <v>1.77</v>
      </c>
      <c r="AH47" s="307"/>
      <c r="AI47" s="307"/>
      <c r="AJ47" s="307"/>
      <c r="AK47" s="307">
        <f t="shared" si="45"/>
        <v>0.885</v>
      </c>
      <c r="AL47" s="307"/>
      <c r="AM47" s="307"/>
      <c r="AN47" s="307"/>
      <c r="AO47" s="307"/>
      <c r="AP47" s="307"/>
      <c r="AQ47" s="307"/>
      <c r="AR47" s="307">
        <v>0.24</v>
      </c>
      <c r="AS47" s="434">
        <f t="shared" si="46"/>
        <v>0.7965</v>
      </c>
      <c r="AT47" s="455">
        <f>AA47*1490000*9</f>
        <v>106361415</v>
      </c>
      <c r="AU47" s="4"/>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row>
    <row r="48" spans="1:75" ht="15.75">
      <c r="A48" s="286" t="s">
        <v>148</v>
      </c>
      <c r="B48" s="309" t="s">
        <v>147</v>
      </c>
      <c r="C48" s="415">
        <v>6</v>
      </c>
      <c r="D48" s="415">
        <v>5</v>
      </c>
      <c r="E48" s="269">
        <f aca="true" t="shared" si="47" ref="E48:X48">SUM(E49:E54)</f>
        <v>42.104499999999994</v>
      </c>
      <c r="F48" s="269">
        <f t="shared" si="47"/>
        <v>19.32</v>
      </c>
      <c r="G48" s="269">
        <f t="shared" si="47"/>
        <v>18.279999999999998</v>
      </c>
      <c r="H48" s="269">
        <f t="shared" si="47"/>
        <v>3.5</v>
      </c>
      <c r="I48" s="269">
        <f t="shared" si="47"/>
        <v>0.7</v>
      </c>
      <c r="J48" s="269">
        <f t="shared" si="47"/>
        <v>0</v>
      </c>
      <c r="K48" s="269">
        <f t="shared" si="47"/>
        <v>8.84</v>
      </c>
      <c r="L48" s="269">
        <f t="shared" si="47"/>
        <v>0</v>
      </c>
      <c r="M48" s="269">
        <f t="shared" si="47"/>
        <v>0</v>
      </c>
      <c r="N48" s="269">
        <f t="shared" si="47"/>
        <v>0</v>
      </c>
      <c r="O48" s="269">
        <f t="shared" si="47"/>
        <v>4.42</v>
      </c>
      <c r="P48" s="269">
        <f t="shared" si="47"/>
        <v>0</v>
      </c>
      <c r="Q48" s="269">
        <f t="shared" si="47"/>
        <v>0</v>
      </c>
      <c r="R48" s="269">
        <f t="shared" si="47"/>
        <v>0</v>
      </c>
      <c r="S48" s="269">
        <f t="shared" si="47"/>
        <v>0</v>
      </c>
      <c r="T48" s="269">
        <f t="shared" si="47"/>
        <v>0</v>
      </c>
      <c r="U48" s="269">
        <f t="shared" si="47"/>
        <v>0.6</v>
      </c>
      <c r="V48" s="269">
        <f t="shared" si="47"/>
        <v>0</v>
      </c>
      <c r="W48" s="269">
        <f t="shared" si="47"/>
        <v>0.22</v>
      </c>
      <c r="X48" s="269">
        <f t="shared" si="47"/>
        <v>4.5045</v>
      </c>
      <c r="Y48" s="270">
        <f>ROUNDUP(SUM(Y49:Y54),-3)</f>
        <v>752829000</v>
      </c>
      <c r="Z48" s="307"/>
      <c r="AA48" s="307">
        <f t="shared" si="42"/>
        <v>7.67175</v>
      </c>
      <c r="AB48" s="307">
        <v>3.33</v>
      </c>
      <c r="AC48" s="307">
        <f t="shared" si="43"/>
        <v>3.5475000000000003</v>
      </c>
      <c r="AD48" s="307">
        <v>0.7</v>
      </c>
      <c r="AE48" s="307">
        <v>0.2</v>
      </c>
      <c r="AF48" s="307"/>
      <c r="AG48" s="307">
        <f t="shared" si="44"/>
        <v>1.7650000000000001</v>
      </c>
      <c r="AH48" s="307"/>
      <c r="AI48" s="307"/>
      <c r="AJ48" s="307"/>
      <c r="AK48" s="307">
        <f t="shared" si="45"/>
        <v>0.8825000000000001</v>
      </c>
      <c r="AL48" s="307"/>
      <c r="AM48" s="307"/>
      <c r="AN48" s="307"/>
      <c r="AO48" s="307"/>
      <c r="AP48" s="307"/>
      <c r="AQ48" s="307"/>
      <c r="AR48" s="307"/>
      <c r="AS48" s="434">
        <f t="shared" si="46"/>
        <v>0.7942500000000001</v>
      </c>
      <c r="AT48" s="455">
        <f>AA48*1490000*1</f>
        <v>11430907.5</v>
      </c>
      <c r="AU48" s="14"/>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row>
    <row r="49" spans="1:75" ht="15.75">
      <c r="A49" s="272">
        <v>1</v>
      </c>
      <c r="B49" s="310" t="s">
        <v>23</v>
      </c>
      <c r="C49" s="416"/>
      <c r="D49" s="416"/>
      <c r="E49" s="274">
        <f aca="true" t="shared" si="48" ref="E49:E54">F49+G49+X49</f>
        <v>9.692749999999998</v>
      </c>
      <c r="F49" s="275">
        <v>3.99</v>
      </c>
      <c r="G49" s="274">
        <f aca="true" t="shared" si="49" ref="G49:G54">SUM(H49:W49)</f>
        <v>4.7375</v>
      </c>
      <c r="H49" s="274">
        <v>0.7</v>
      </c>
      <c r="I49" s="274">
        <v>0.3</v>
      </c>
      <c r="J49" s="274"/>
      <c r="K49" s="274">
        <f>(F49+I49)*50%</f>
        <v>2.145</v>
      </c>
      <c r="L49" s="274"/>
      <c r="M49" s="274"/>
      <c r="N49" s="274"/>
      <c r="O49" s="274">
        <f>(F49+I49)*25%</f>
        <v>1.0725</v>
      </c>
      <c r="P49" s="274"/>
      <c r="Q49" s="274"/>
      <c r="R49" s="274"/>
      <c r="S49" s="275"/>
      <c r="T49" s="274"/>
      <c r="U49" s="274">
        <v>0.3</v>
      </c>
      <c r="V49" s="274"/>
      <c r="W49" s="274">
        <v>0.22</v>
      </c>
      <c r="X49" s="274">
        <f aca="true" t="shared" si="50" ref="X49:X54">(F49+I49)*22.5%</f>
        <v>0.96525</v>
      </c>
      <c r="Y49" s="277">
        <f aca="true" t="shared" si="51" ref="Y49:Y54">E49*1490000*12</f>
        <v>173306369.99999997</v>
      </c>
      <c r="Z49" s="307"/>
      <c r="AA49" s="307">
        <f t="shared" si="42"/>
        <v>8.3235</v>
      </c>
      <c r="AB49" s="308">
        <v>3.66</v>
      </c>
      <c r="AC49" s="307">
        <f>SUM(AD49:AR49)</f>
        <v>3.795</v>
      </c>
      <c r="AD49" s="307">
        <v>0.7</v>
      </c>
      <c r="AE49" s="307">
        <v>0.2</v>
      </c>
      <c r="AF49" s="307"/>
      <c r="AG49" s="307">
        <f t="shared" si="44"/>
        <v>1.9300000000000002</v>
      </c>
      <c r="AH49" s="307"/>
      <c r="AI49" s="307"/>
      <c r="AJ49" s="307"/>
      <c r="AK49" s="307">
        <f t="shared" si="45"/>
        <v>0.9650000000000001</v>
      </c>
      <c r="AL49" s="307"/>
      <c r="AM49" s="307"/>
      <c r="AN49" s="307"/>
      <c r="AO49" s="307"/>
      <c r="AP49" s="307"/>
      <c r="AQ49" s="307"/>
      <c r="AR49" s="307"/>
      <c r="AS49" s="434">
        <f t="shared" si="46"/>
        <v>0.8685</v>
      </c>
      <c r="AT49" s="455">
        <f>AA49*1490000*11</f>
        <v>136422164.99999997</v>
      </c>
      <c r="AU49" s="4"/>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row>
    <row r="50" spans="1:75" ht="15.75">
      <c r="A50" s="272">
        <v>2</v>
      </c>
      <c r="B50" s="310" t="s">
        <v>146</v>
      </c>
      <c r="C50" s="416"/>
      <c r="D50" s="416"/>
      <c r="E50" s="274">
        <f t="shared" si="48"/>
        <v>8.3235</v>
      </c>
      <c r="F50" s="275">
        <v>3.66</v>
      </c>
      <c r="G50" s="274">
        <f t="shared" si="49"/>
        <v>3.795</v>
      </c>
      <c r="H50" s="274">
        <v>0.7</v>
      </c>
      <c r="I50" s="274">
        <v>0.2</v>
      </c>
      <c r="J50" s="274"/>
      <c r="K50" s="274">
        <f>(F50+I50)*50%</f>
        <v>1.9300000000000002</v>
      </c>
      <c r="L50" s="274"/>
      <c r="M50" s="274"/>
      <c r="N50" s="274"/>
      <c r="O50" s="274">
        <f>(F50+I50)*25%</f>
        <v>0.9650000000000001</v>
      </c>
      <c r="P50" s="274"/>
      <c r="Q50" s="274"/>
      <c r="R50" s="274"/>
      <c r="S50" s="275"/>
      <c r="T50" s="274"/>
      <c r="U50" s="274"/>
      <c r="V50" s="274"/>
      <c r="W50" s="274"/>
      <c r="X50" s="274">
        <f t="shared" si="50"/>
        <v>0.8685</v>
      </c>
      <c r="Y50" s="277">
        <f t="shared" si="51"/>
        <v>148824179.99999997</v>
      </c>
      <c r="Z50" s="307"/>
      <c r="AA50" s="307"/>
      <c r="AB50" s="307"/>
      <c r="AC50" s="307"/>
      <c r="AD50" s="307"/>
      <c r="AE50" s="307"/>
      <c r="AF50" s="307"/>
      <c r="AG50" s="307"/>
      <c r="AH50" s="307"/>
      <c r="AI50" s="307"/>
      <c r="AJ50" s="307"/>
      <c r="AK50" s="307"/>
      <c r="AL50" s="307"/>
      <c r="AM50" s="307"/>
      <c r="AN50" s="307"/>
      <c r="AO50" s="307"/>
      <c r="AP50" s="307"/>
      <c r="AQ50" s="307"/>
      <c r="AR50" s="307"/>
      <c r="AS50" s="434"/>
      <c r="AT50" s="456">
        <f>SUM(AT51:AT53)</f>
        <v>281580000</v>
      </c>
      <c r="AU50" s="4"/>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row>
    <row r="51" spans="1:75" ht="15.75">
      <c r="A51" s="272">
        <v>3</v>
      </c>
      <c r="B51" s="310" t="s">
        <v>145</v>
      </c>
      <c r="C51" s="416"/>
      <c r="D51" s="416"/>
      <c r="E51" s="274">
        <f t="shared" si="48"/>
        <v>9.927</v>
      </c>
      <c r="F51" s="275">
        <v>4.32</v>
      </c>
      <c r="G51" s="274">
        <f t="shared" si="49"/>
        <v>4.59</v>
      </c>
      <c r="H51" s="274">
        <v>0.7</v>
      </c>
      <c r="I51" s="274">
        <v>0.2</v>
      </c>
      <c r="J51" s="274"/>
      <c r="K51" s="274">
        <f>(F51+I51)*50%</f>
        <v>2.2600000000000002</v>
      </c>
      <c r="L51" s="274"/>
      <c r="M51" s="274"/>
      <c r="N51" s="274"/>
      <c r="O51" s="274">
        <f>(F51+I51)*25%</f>
        <v>1.1300000000000001</v>
      </c>
      <c r="P51" s="274"/>
      <c r="Q51" s="274"/>
      <c r="R51" s="274"/>
      <c r="S51" s="275"/>
      <c r="T51" s="274"/>
      <c r="U51" s="274">
        <v>0.3</v>
      </c>
      <c r="V51" s="274"/>
      <c r="W51" s="274"/>
      <c r="X51" s="274">
        <f t="shared" si="50"/>
        <v>1.0170000000000001</v>
      </c>
      <c r="Y51" s="277">
        <f t="shared" si="51"/>
        <v>177494760</v>
      </c>
      <c r="Z51" s="307"/>
      <c r="AA51" s="307"/>
      <c r="AB51" s="307"/>
      <c r="AC51" s="307"/>
      <c r="AD51" s="307"/>
      <c r="AE51" s="307"/>
      <c r="AF51" s="307"/>
      <c r="AG51" s="307"/>
      <c r="AH51" s="307"/>
      <c r="AI51" s="307"/>
      <c r="AJ51" s="307"/>
      <c r="AK51" s="307"/>
      <c r="AL51" s="307"/>
      <c r="AM51" s="307"/>
      <c r="AN51" s="307"/>
      <c r="AO51" s="307"/>
      <c r="AP51" s="307"/>
      <c r="AQ51" s="307"/>
      <c r="AR51" s="307"/>
      <c r="AS51" s="434"/>
      <c r="AT51" s="455">
        <v>108186000</v>
      </c>
      <c r="AU51" s="4"/>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row>
    <row r="52" spans="1:75" ht="15.75">
      <c r="A52" s="272">
        <v>4</v>
      </c>
      <c r="B52" s="310" t="s">
        <v>144</v>
      </c>
      <c r="C52" s="416"/>
      <c r="D52" s="416"/>
      <c r="E52" s="274">
        <f t="shared" si="48"/>
        <v>2.8665</v>
      </c>
      <c r="F52" s="275">
        <v>2.34</v>
      </c>
      <c r="G52" s="274">
        <f t="shared" si="49"/>
        <v>0</v>
      </c>
      <c r="H52" s="274"/>
      <c r="I52" s="274"/>
      <c r="J52" s="274"/>
      <c r="K52" s="274"/>
      <c r="L52" s="274"/>
      <c r="M52" s="274"/>
      <c r="N52" s="274"/>
      <c r="O52" s="274"/>
      <c r="P52" s="274"/>
      <c r="Q52" s="274"/>
      <c r="R52" s="274"/>
      <c r="S52" s="275"/>
      <c r="T52" s="274"/>
      <c r="U52" s="274"/>
      <c r="V52" s="274"/>
      <c r="W52" s="274"/>
      <c r="X52" s="274">
        <f t="shared" si="50"/>
        <v>0.5265</v>
      </c>
      <c r="Y52" s="277">
        <f t="shared" si="51"/>
        <v>51253020</v>
      </c>
      <c r="Z52" s="307"/>
      <c r="AA52" s="307"/>
      <c r="AB52" s="307"/>
      <c r="AC52" s="307"/>
      <c r="AD52" s="307"/>
      <c r="AE52" s="307"/>
      <c r="AF52" s="307"/>
      <c r="AG52" s="307"/>
      <c r="AH52" s="307"/>
      <c r="AI52" s="307"/>
      <c r="AJ52" s="307"/>
      <c r="AK52" s="307"/>
      <c r="AL52" s="307"/>
      <c r="AM52" s="307"/>
      <c r="AN52" s="307"/>
      <c r="AO52" s="307"/>
      <c r="AP52" s="307"/>
      <c r="AQ52" s="307"/>
      <c r="AR52" s="307"/>
      <c r="AS52" s="434"/>
      <c r="AT52" s="455">
        <v>108186000</v>
      </c>
      <c r="AU52" s="4"/>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row>
    <row r="53" spans="1:75" ht="15.75">
      <c r="A53" s="272">
        <v>5</v>
      </c>
      <c r="B53" s="310" t="s">
        <v>143</v>
      </c>
      <c r="C53" s="416"/>
      <c r="D53" s="416"/>
      <c r="E53" s="274">
        <f t="shared" si="48"/>
        <v>5.3215</v>
      </c>
      <c r="F53" s="275">
        <v>2.34</v>
      </c>
      <c r="G53" s="274">
        <f t="shared" si="49"/>
        <v>2.455</v>
      </c>
      <c r="H53" s="274">
        <v>0.7</v>
      </c>
      <c r="I53" s="274"/>
      <c r="J53" s="274"/>
      <c r="K53" s="274">
        <f>(F53+I53)*50%</f>
        <v>1.17</v>
      </c>
      <c r="L53" s="274"/>
      <c r="M53" s="274"/>
      <c r="N53" s="274"/>
      <c r="O53" s="274">
        <f>(F53+I53)*25%</f>
        <v>0.585</v>
      </c>
      <c r="P53" s="274"/>
      <c r="Q53" s="274"/>
      <c r="R53" s="274"/>
      <c r="S53" s="275"/>
      <c r="T53" s="274"/>
      <c r="U53" s="274"/>
      <c r="V53" s="274"/>
      <c r="W53" s="274"/>
      <c r="X53" s="274">
        <f t="shared" si="50"/>
        <v>0.5265</v>
      </c>
      <c r="Y53" s="277">
        <f t="shared" si="51"/>
        <v>95148420.00000001</v>
      </c>
      <c r="Z53" s="311"/>
      <c r="AA53" s="307"/>
      <c r="AB53" s="311"/>
      <c r="AC53" s="311"/>
      <c r="AD53" s="311"/>
      <c r="AE53" s="311"/>
      <c r="AF53" s="311"/>
      <c r="AG53" s="311"/>
      <c r="AH53" s="311"/>
      <c r="AI53" s="311"/>
      <c r="AJ53" s="311"/>
      <c r="AK53" s="311"/>
      <c r="AL53" s="311"/>
      <c r="AM53" s="311"/>
      <c r="AN53" s="311"/>
      <c r="AO53" s="311"/>
      <c r="AP53" s="311"/>
      <c r="AQ53" s="311"/>
      <c r="AR53" s="311"/>
      <c r="AS53" s="435"/>
      <c r="AT53" s="455">
        <v>65208000</v>
      </c>
      <c r="AU53" s="4"/>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row>
    <row r="54" spans="1:75" ht="15.75">
      <c r="A54" s="272">
        <v>6</v>
      </c>
      <c r="B54" s="310" t="s">
        <v>142</v>
      </c>
      <c r="C54" s="416"/>
      <c r="D54" s="416"/>
      <c r="E54" s="274">
        <f t="shared" si="48"/>
        <v>5.97325</v>
      </c>
      <c r="F54" s="275">
        <v>2.67</v>
      </c>
      <c r="G54" s="274">
        <f t="shared" si="49"/>
        <v>2.7025</v>
      </c>
      <c r="H54" s="274">
        <v>0.7</v>
      </c>
      <c r="I54" s="274"/>
      <c r="J54" s="274"/>
      <c r="K54" s="274">
        <f>(F54+I54)*50%</f>
        <v>1.335</v>
      </c>
      <c r="L54" s="274"/>
      <c r="M54" s="274"/>
      <c r="N54" s="274"/>
      <c r="O54" s="274">
        <f>(F54+I54)*25%</f>
        <v>0.6675</v>
      </c>
      <c r="P54" s="274"/>
      <c r="Q54" s="274"/>
      <c r="R54" s="274"/>
      <c r="S54" s="275"/>
      <c r="T54" s="274"/>
      <c r="U54" s="274"/>
      <c r="V54" s="274"/>
      <c r="W54" s="274"/>
      <c r="X54" s="274">
        <f t="shared" si="50"/>
        <v>0.60075</v>
      </c>
      <c r="Y54" s="277">
        <f t="shared" si="51"/>
        <v>106801710</v>
      </c>
      <c r="Z54" s="307"/>
      <c r="AA54" s="307"/>
      <c r="AB54" s="307"/>
      <c r="AC54" s="307"/>
      <c r="AD54" s="307"/>
      <c r="AE54" s="307"/>
      <c r="AF54" s="307"/>
      <c r="AG54" s="307"/>
      <c r="AH54" s="307"/>
      <c r="AI54" s="307"/>
      <c r="AJ54" s="307"/>
      <c r="AK54" s="307"/>
      <c r="AL54" s="307"/>
      <c r="AM54" s="307"/>
      <c r="AN54" s="307"/>
      <c r="AO54" s="307"/>
      <c r="AP54" s="307"/>
      <c r="AQ54" s="307"/>
      <c r="AR54" s="307"/>
      <c r="AS54" s="434"/>
      <c r="AT54" s="455"/>
      <c r="AU54" s="4"/>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row>
    <row r="55" spans="1:75" ht="15.75">
      <c r="A55" s="286"/>
      <c r="B55" s="312"/>
      <c r="C55" s="415"/>
      <c r="D55" s="415"/>
      <c r="E55" s="269"/>
      <c r="F55" s="269"/>
      <c r="G55" s="269"/>
      <c r="H55" s="269"/>
      <c r="I55" s="269"/>
      <c r="J55" s="269"/>
      <c r="K55" s="269"/>
      <c r="L55" s="269"/>
      <c r="M55" s="269"/>
      <c r="N55" s="269"/>
      <c r="O55" s="269"/>
      <c r="P55" s="269"/>
      <c r="Q55" s="269"/>
      <c r="R55" s="269"/>
      <c r="S55" s="269"/>
      <c r="T55" s="269"/>
      <c r="U55" s="269"/>
      <c r="V55" s="269"/>
      <c r="W55" s="269"/>
      <c r="X55" s="269"/>
      <c r="Y55" s="269">
        <f>Y48-Y52</f>
        <v>701575980</v>
      </c>
      <c r="Z55" s="313">
        <v>7</v>
      </c>
      <c r="AA55" s="313">
        <f>SUM(AA56:AA62)</f>
        <v>46.22474999999999</v>
      </c>
      <c r="AB55" s="313">
        <f>SUM(AB56:AB62)</f>
        <v>23.110000000000003</v>
      </c>
      <c r="AC55" s="313">
        <f>SUM(AC56:AC62)</f>
        <v>17.8475</v>
      </c>
      <c r="AD55" s="313">
        <f>SUM(AD56:AD62)</f>
        <v>3.5</v>
      </c>
      <c r="AE55" s="313">
        <f aca="true" t="shared" si="52" ref="AE55:AS55">SUM(AE56:AE62)</f>
        <v>0.3</v>
      </c>
      <c r="AF55" s="313">
        <f t="shared" si="52"/>
        <v>0</v>
      </c>
      <c r="AG55" s="313">
        <f t="shared" si="52"/>
        <v>9.364999999999998</v>
      </c>
      <c r="AH55" s="313">
        <f t="shared" si="52"/>
        <v>0</v>
      </c>
      <c r="AI55" s="313">
        <f t="shared" si="52"/>
        <v>0</v>
      </c>
      <c r="AJ55" s="313">
        <f t="shared" si="52"/>
        <v>0</v>
      </c>
      <c r="AK55" s="313">
        <f t="shared" si="52"/>
        <v>4.682499999999999</v>
      </c>
      <c r="AL55" s="313">
        <f t="shared" si="52"/>
        <v>0</v>
      </c>
      <c r="AM55" s="313">
        <f t="shared" si="52"/>
        <v>0</v>
      </c>
      <c r="AN55" s="313">
        <f t="shared" si="52"/>
        <v>0</v>
      </c>
      <c r="AO55" s="313">
        <f t="shared" si="52"/>
        <v>0</v>
      </c>
      <c r="AP55" s="313">
        <f t="shared" si="52"/>
        <v>0</v>
      </c>
      <c r="AQ55" s="313">
        <f t="shared" si="52"/>
        <v>0</v>
      </c>
      <c r="AR55" s="313">
        <f t="shared" si="52"/>
        <v>0</v>
      </c>
      <c r="AS55" s="436">
        <f t="shared" si="52"/>
        <v>5.267250000000001</v>
      </c>
      <c r="AT55" s="457">
        <f>SUM(AT56:AT62)</f>
        <v>760613710</v>
      </c>
      <c r="AU55" s="14"/>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row>
    <row r="56" spans="1:75" ht="15.75">
      <c r="A56" s="272"/>
      <c r="B56" s="314"/>
      <c r="C56" s="416"/>
      <c r="D56" s="416"/>
      <c r="E56" s="274"/>
      <c r="F56" s="275"/>
      <c r="G56" s="274"/>
      <c r="H56" s="274"/>
      <c r="I56" s="274"/>
      <c r="J56" s="274"/>
      <c r="K56" s="274"/>
      <c r="L56" s="274"/>
      <c r="M56" s="274"/>
      <c r="N56" s="274"/>
      <c r="O56" s="315"/>
      <c r="P56" s="274"/>
      <c r="Q56" s="274"/>
      <c r="R56" s="274"/>
      <c r="S56" s="275"/>
      <c r="T56" s="274"/>
      <c r="U56" s="274"/>
      <c r="V56" s="274"/>
      <c r="W56" s="274"/>
      <c r="X56" s="274"/>
      <c r="Y56" s="277"/>
      <c r="Z56" s="316"/>
      <c r="AA56" s="316">
        <f aca="true" t="shared" si="53" ref="AA56:AA62">AB56+AC56+AS56</f>
        <v>13.339999999999998</v>
      </c>
      <c r="AB56" s="317">
        <v>6.1</v>
      </c>
      <c r="AC56" s="318">
        <f aca="true" t="shared" si="54" ref="AC56:AC62">SUM(AD56:AR56)</f>
        <v>5.799999999999999</v>
      </c>
      <c r="AD56" s="316">
        <v>0.7</v>
      </c>
      <c r="AE56" s="316">
        <v>0.3</v>
      </c>
      <c r="AF56" s="316"/>
      <c r="AG56" s="316">
        <f>(AB56+AE56)*50%</f>
        <v>3.1999999999999997</v>
      </c>
      <c r="AH56" s="316"/>
      <c r="AI56" s="316"/>
      <c r="AJ56" s="316"/>
      <c r="AK56" s="316">
        <f>(AB56+AE56)*25%</f>
        <v>1.5999999999999999</v>
      </c>
      <c r="AL56" s="317"/>
      <c r="AM56" s="316"/>
      <c r="AN56" s="316"/>
      <c r="AO56" s="316"/>
      <c r="AP56" s="319"/>
      <c r="AQ56" s="316"/>
      <c r="AR56" s="316"/>
      <c r="AS56" s="437">
        <f aca="true" t="shared" si="55" ref="AS56:AS61">(AB56+AE56)*22.5%</f>
        <v>1.44</v>
      </c>
      <c r="AT56" s="320">
        <f>AA56*1490000*12</f>
        <v>238519199.99999994</v>
      </c>
      <c r="AU56" s="4"/>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row>
    <row r="57" spans="1:75" ht="15.75">
      <c r="A57" s="272"/>
      <c r="B57" s="310"/>
      <c r="C57" s="416"/>
      <c r="D57" s="416"/>
      <c r="E57" s="274"/>
      <c r="F57" s="275"/>
      <c r="G57" s="274"/>
      <c r="H57" s="274"/>
      <c r="I57" s="274"/>
      <c r="J57" s="274"/>
      <c r="K57" s="274"/>
      <c r="L57" s="274"/>
      <c r="M57" s="274"/>
      <c r="N57" s="274"/>
      <c r="O57" s="274"/>
      <c r="P57" s="274"/>
      <c r="Q57" s="274"/>
      <c r="R57" s="274"/>
      <c r="S57" s="275"/>
      <c r="T57" s="274"/>
      <c r="U57" s="274"/>
      <c r="V57" s="274"/>
      <c r="W57" s="274"/>
      <c r="X57" s="274"/>
      <c r="Y57" s="277"/>
      <c r="Z57" s="316"/>
      <c r="AA57" s="316">
        <f t="shared" si="53"/>
        <v>6.625</v>
      </c>
      <c r="AB57" s="317">
        <v>3</v>
      </c>
      <c r="AC57" s="318">
        <f t="shared" si="54"/>
        <v>2.95</v>
      </c>
      <c r="AD57" s="316">
        <v>0.7</v>
      </c>
      <c r="AE57" s="316"/>
      <c r="AF57" s="316"/>
      <c r="AG57" s="316">
        <f>(AB57+AE57)*50%</f>
        <v>1.5</v>
      </c>
      <c r="AH57" s="316"/>
      <c r="AI57" s="316"/>
      <c r="AJ57" s="316"/>
      <c r="AK57" s="316">
        <f>(AB57+AE57)*25%</f>
        <v>0.75</v>
      </c>
      <c r="AL57" s="317"/>
      <c r="AM57" s="316"/>
      <c r="AN57" s="316"/>
      <c r="AO57" s="316"/>
      <c r="AP57" s="319"/>
      <c r="AQ57" s="316"/>
      <c r="AR57" s="316"/>
      <c r="AS57" s="437">
        <f t="shared" si="55"/>
        <v>0.675</v>
      </c>
      <c r="AT57" s="320">
        <f>AA57*1490000*12</f>
        <v>118455000</v>
      </c>
      <c r="AU57" s="4"/>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row>
    <row r="58" spans="1:75" ht="15.75">
      <c r="A58" s="286" t="s">
        <v>141</v>
      </c>
      <c r="B58" s="312" t="s">
        <v>140</v>
      </c>
      <c r="C58" s="415">
        <v>6</v>
      </c>
      <c r="D58" s="415">
        <v>3</v>
      </c>
      <c r="E58" s="269">
        <f aca="true" t="shared" si="56" ref="E58:X58">SUM(E59:E62)</f>
        <v>33.10275</v>
      </c>
      <c r="F58" s="269">
        <f t="shared" si="56"/>
        <v>17.79</v>
      </c>
      <c r="G58" s="269">
        <f t="shared" si="56"/>
        <v>11.2425</v>
      </c>
      <c r="H58" s="269">
        <f t="shared" si="56"/>
        <v>2.0999999999999996</v>
      </c>
      <c r="I58" s="269">
        <f t="shared" si="56"/>
        <v>0.3</v>
      </c>
      <c r="J58" s="269">
        <f t="shared" si="56"/>
        <v>0</v>
      </c>
      <c r="K58" s="269">
        <f t="shared" si="56"/>
        <v>5.535</v>
      </c>
      <c r="L58" s="269">
        <f t="shared" si="56"/>
        <v>0</v>
      </c>
      <c r="M58" s="269">
        <f t="shared" si="56"/>
        <v>0</v>
      </c>
      <c r="N58" s="269">
        <f t="shared" si="56"/>
        <v>0</v>
      </c>
      <c r="O58" s="269">
        <f t="shared" si="56"/>
        <v>2.7675</v>
      </c>
      <c r="P58" s="269">
        <f t="shared" si="56"/>
        <v>0</v>
      </c>
      <c r="Q58" s="269">
        <f t="shared" si="56"/>
        <v>0</v>
      </c>
      <c r="R58" s="269">
        <f t="shared" si="56"/>
        <v>0</v>
      </c>
      <c r="S58" s="269">
        <f t="shared" si="56"/>
        <v>0</v>
      </c>
      <c r="T58" s="269">
        <f t="shared" si="56"/>
        <v>0</v>
      </c>
      <c r="U58" s="269">
        <f t="shared" si="56"/>
        <v>0.3</v>
      </c>
      <c r="V58" s="269">
        <f t="shared" si="56"/>
        <v>0</v>
      </c>
      <c r="W58" s="269">
        <f t="shared" si="56"/>
        <v>0.24</v>
      </c>
      <c r="X58" s="269">
        <f t="shared" si="56"/>
        <v>4.07025</v>
      </c>
      <c r="Y58" s="270">
        <f>ROUNDUP(SUM(Y59:Y62),-3)</f>
        <v>591878000</v>
      </c>
      <c r="Z58" s="316"/>
      <c r="AA58" s="316">
        <f t="shared" si="53"/>
        <v>5.3215</v>
      </c>
      <c r="AB58" s="317">
        <v>2.34</v>
      </c>
      <c r="AC58" s="318">
        <f t="shared" si="54"/>
        <v>2.455</v>
      </c>
      <c r="AD58" s="316">
        <v>0.7</v>
      </c>
      <c r="AE58" s="316"/>
      <c r="AF58" s="316"/>
      <c r="AG58" s="316">
        <f>(AB58+AE58)*50%</f>
        <v>1.17</v>
      </c>
      <c r="AH58" s="316"/>
      <c r="AI58" s="316"/>
      <c r="AJ58" s="316"/>
      <c r="AK58" s="316">
        <f>(AB58+AE58)*25%</f>
        <v>0.585</v>
      </c>
      <c r="AL58" s="317"/>
      <c r="AM58" s="316"/>
      <c r="AN58" s="316"/>
      <c r="AO58" s="316"/>
      <c r="AP58" s="319"/>
      <c r="AQ58" s="316"/>
      <c r="AR58" s="316"/>
      <c r="AS58" s="437">
        <f t="shared" si="55"/>
        <v>0.5265</v>
      </c>
      <c r="AT58" s="320">
        <f>AA58*1490000*8</f>
        <v>63432280.00000001</v>
      </c>
      <c r="AU58" s="14"/>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row>
    <row r="59" spans="1:75" ht="15.75">
      <c r="A59" s="286">
        <v>1</v>
      </c>
      <c r="B59" s="321" t="s">
        <v>31</v>
      </c>
      <c r="C59" s="416"/>
      <c r="D59" s="416"/>
      <c r="E59" s="289">
        <f>F59+G59+X59</f>
        <v>13.208499999999999</v>
      </c>
      <c r="F59" s="275">
        <v>5.76</v>
      </c>
      <c r="G59" s="274">
        <f>SUM(H59:W59)</f>
        <v>6.084999999999999</v>
      </c>
      <c r="H59" s="274">
        <v>0.7</v>
      </c>
      <c r="I59" s="274">
        <v>0.3</v>
      </c>
      <c r="J59" s="274"/>
      <c r="K59" s="274">
        <f>(F59+I59)*50%</f>
        <v>3.03</v>
      </c>
      <c r="L59" s="274"/>
      <c r="M59" s="274"/>
      <c r="N59" s="274"/>
      <c r="O59" s="289">
        <f>(F59+I59)*25%</f>
        <v>1.515</v>
      </c>
      <c r="P59" s="274"/>
      <c r="Q59" s="274"/>
      <c r="R59" s="274"/>
      <c r="S59" s="275"/>
      <c r="T59" s="274"/>
      <c r="U59" s="274">
        <v>0.3</v>
      </c>
      <c r="V59" s="274"/>
      <c r="W59" s="289">
        <v>0.24</v>
      </c>
      <c r="X59" s="274">
        <f>(F59+I59)*0.225</f>
        <v>1.3635</v>
      </c>
      <c r="Y59" s="277">
        <f>E59*1490000*12</f>
        <v>236167980</v>
      </c>
      <c r="Z59" s="322"/>
      <c r="AA59" s="316">
        <f t="shared" si="53"/>
        <v>2.8665</v>
      </c>
      <c r="AB59" s="323">
        <v>2.34</v>
      </c>
      <c r="AC59" s="318">
        <f t="shared" si="54"/>
        <v>0</v>
      </c>
      <c r="AD59" s="316"/>
      <c r="AE59" s="322"/>
      <c r="AF59" s="322"/>
      <c r="AG59" s="316"/>
      <c r="AH59" s="322"/>
      <c r="AI59" s="322"/>
      <c r="AJ59" s="322"/>
      <c r="AK59" s="316"/>
      <c r="AL59" s="323"/>
      <c r="AM59" s="322"/>
      <c r="AN59" s="322"/>
      <c r="AO59" s="322"/>
      <c r="AP59" s="324"/>
      <c r="AQ59" s="322"/>
      <c r="AR59" s="322"/>
      <c r="AS59" s="437">
        <f>(AB59+AE59)*22.5%</f>
        <v>0.5265</v>
      </c>
      <c r="AT59" s="320">
        <f>AA59*1490000*4</f>
        <v>17084340</v>
      </c>
      <c r="AU59" s="4"/>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row>
    <row r="60" spans="1:75" ht="15.75">
      <c r="A60" s="286">
        <v>2</v>
      </c>
      <c r="B60" s="321" t="s">
        <v>139</v>
      </c>
      <c r="C60" s="416"/>
      <c r="D60" s="416"/>
      <c r="E60" s="289">
        <f>F60+G60+X60</f>
        <v>5.97325</v>
      </c>
      <c r="F60" s="275">
        <v>2.67</v>
      </c>
      <c r="G60" s="274">
        <f>SUM(H60:W60)</f>
        <v>2.7025</v>
      </c>
      <c r="H60" s="274">
        <v>0.7</v>
      </c>
      <c r="I60" s="274"/>
      <c r="J60" s="274"/>
      <c r="K60" s="274">
        <f>(F60+I60)*50%</f>
        <v>1.335</v>
      </c>
      <c r="L60" s="274"/>
      <c r="M60" s="274"/>
      <c r="N60" s="274"/>
      <c r="O60" s="289">
        <f>(F60+I60)*25%</f>
        <v>0.6675</v>
      </c>
      <c r="P60" s="274"/>
      <c r="Q60" s="274"/>
      <c r="R60" s="274"/>
      <c r="S60" s="275"/>
      <c r="T60" s="274"/>
      <c r="U60" s="274"/>
      <c r="V60" s="274"/>
      <c r="W60" s="289"/>
      <c r="X60" s="274">
        <f>(F60+I60)*0.225</f>
        <v>0.60075</v>
      </c>
      <c r="Y60" s="277">
        <f>E60*1490000*12</f>
        <v>106801710</v>
      </c>
      <c r="Z60" s="318"/>
      <c r="AA60" s="316">
        <f t="shared" si="53"/>
        <v>6.625</v>
      </c>
      <c r="AB60" s="318">
        <v>3</v>
      </c>
      <c r="AC60" s="318">
        <f t="shared" si="54"/>
        <v>2.95</v>
      </c>
      <c r="AD60" s="316">
        <v>0.7</v>
      </c>
      <c r="AE60" s="318"/>
      <c r="AF60" s="318"/>
      <c r="AG60" s="316">
        <f>(AB60+AE60)*50%</f>
        <v>1.5</v>
      </c>
      <c r="AH60" s="318"/>
      <c r="AI60" s="318"/>
      <c r="AJ60" s="318"/>
      <c r="AK60" s="316">
        <f>(AB60+AE60)*25%</f>
        <v>0.75</v>
      </c>
      <c r="AL60" s="318"/>
      <c r="AM60" s="318"/>
      <c r="AN60" s="318"/>
      <c r="AO60" s="318"/>
      <c r="AP60" s="318"/>
      <c r="AQ60" s="318"/>
      <c r="AR60" s="318"/>
      <c r="AS60" s="437">
        <f t="shared" si="55"/>
        <v>0.675</v>
      </c>
      <c r="AT60" s="320">
        <f>AA60*1490000*12</f>
        <v>118455000</v>
      </c>
      <c r="AU60" s="4"/>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row>
    <row r="61" spans="1:75" ht="15.75">
      <c r="A61" s="286">
        <v>3</v>
      </c>
      <c r="B61" s="321" t="s">
        <v>138</v>
      </c>
      <c r="C61" s="416"/>
      <c r="D61" s="416"/>
      <c r="E61" s="289">
        <f>F61+G61+X61</f>
        <v>8.599499999999999</v>
      </c>
      <c r="F61" s="275">
        <f>3*2.34</f>
        <v>7.02</v>
      </c>
      <c r="G61" s="274">
        <f>SUM(H61:W61)</f>
        <v>0</v>
      </c>
      <c r="H61" s="274"/>
      <c r="I61" s="274"/>
      <c r="J61" s="274"/>
      <c r="K61" s="274"/>
      <c r="L61" s="274"/>
      <c r="M61" s="274"/>
      <c r="N61" s="274"/>
      <c r="O61" s="289"/>
      <c r="P61" s="274"/>
      <c r="Q61" s="274"/>
      <c r="R61" s="274"/>
      <c r="S61" s="275"/>
      <c r="T61" s="274"/>
      <c r="U61" s="274"/>
      <c r="V61" s="274"/>
      <c r="W61" s="289"/>
      <c r="X61" s="274">
        <f>(F61+I61)*0.225</f>
        <v>1.5795</v>
      </c>
      <c r="Y61" s="277">
        <f>E61*1490000*12</f>
        <v>153759059.99999997</v>
      </c>
      <c r="Z61" s="318"/>
      <c r="AA61" s="316">
        <f t="shared" si="53"/>
        <v>8.580250000000001</v>
      </c>
      <c r="AB61" s="318">
        <v>3.99</v>
      </c>
      <c r="AC61" s="318">
        <f t="shared" si="54"/>
        <v>3.6925000000000003</v>
      </c>
      <c r="AD61" s="316">
        <v>0.7</v>
      </c>
      <c r="AE61" s="318"/>
      <c r="AF61" s="318"/>
      <c r="AG61" s="316">
        <f>(AB61+AE61)*50%</f>
        <v>1.995</v>
      </c>
      <c r="AH61" s="318"/>
      <c r="AI61" s="318"/>
      <c r="AJ61" s="318"/>
      <c r="AK61" s="316">
        <f>(AB61+AE61)*25%</f>
        <v>0.9975</v>
      </c>
      <c r="AL61" s="318"/>
      <c r="AM61" s="318"/>
      <c r="AN61" s="318"/>
      <c r="AO61" s="318"/>
      <c r="AP61" s="318"/>
      <c r="AQ61" s="318"/>
      <c r="AR61" s="318"/>
      <c r="AS61" s="437">
        <f t="shared" si="55"/>
        <v>0.89775</v>
      </c>
      <c r="AT61" s="320">
        <f>AA61*1490000*12</f>
        <v>153414870.00000003</v>
      </c>
      <c r="AU61" s="4"/>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row>
    <row r="62" spans="1:75" ht="15.75">
      <c r="A62" s="286">
        <v>4</v>
      </c>
      <c r="B62" s="321" t="s">
        <v>137</v>
      </c>
      <c r="C62" s="416"/>
      <c r="D62" s="416"/>
      <c r="E62" s="289">
        <f>F62+G62+X62</f>
        <v>5.3215</v>
      </c>
      <c r="F62" s="275">
        <v>2.34</v>
      </c>
      <c r="G62" s="274">
        <f>SUM(H62:W62)</f>
        <v>2.455</v>
      </c>
      <c r="H62" s="274">
        <v>0.7</v>
      </c>
      <c r="I62" s="274"/>
      <c r="J62" s="274"/>
      <c r="K62" s="274">
        <f>(F62+I62)*50%</f>
        <v>1.17</v>
      </c>
      <c r="L62" s="274"/>
      <c r="M62" s="274"/>
      <c r="N62" s="274"/>
      <c r="O62" s="289">
        <f>(F62+I62)*25%</f>
        <v>0.585</v>
      </c>
      <c r="P62" s="274"/>
      <c r="Q62" s="274"/>
      <c r="R62" s="274"/>
      <c r="S62" s="275"/>
      <c r="T62" s="274"/>
      <c r="U62" s="274"/>
      <c r="V62" s="274"/>
      <c r="W62" s="289"/>
      <c r="X62" s="274">
        <f>(F62+I62)*0.225</f>
        <v>0.5265</v>
      </c>
      <c r="Y62" s="277">
        <f>E62*1490000*12</f>
        <v>95148420.00000001</v>
      </c>
      <c r="Z62" s="318"/>
      <c r="AA62" s="316">
        <f t="shared" si="53"/>
        <v>2.8665</v>
      </c>
      <c r="AB62" s="318">
        <f>2.34</f>
        <v>2.34</v>
      </c>
      <c r="AC62" s="318">
        <f t="shared" si="54"/>
        <v>0</v>
      </c>
      <c r="AD62" s="316"/>
      <c r="AE62" s="318"/>
      <c r="AF62" s="318"/>
      <c r="AG62" s="316"/>
      <c r="AH62" s="318"/>
      <c r="AI62" s="318"/>
      <c r="AJ62" s="318"/>
      <c r="AK62" s="318"/>
      <c r="AL62" s="318"/>
      <c r="AM62" s="318"/>
      <c r="AN62" s="318"/>
      <c r="AO62" s="318"/>
      <c r="AP62" s="318"/>
      <c r="AQ62" s="318"/>
      <c r="AR62" s="318"/>
      <c r="AS62" s="437">
        <f>(AB62+AE62)*22.5%</f>
        <v>0.5265</v>
      </c>
      <c r="AT62" s="320">
        <f>AA62*1490000*12</f>
        <v>51253020</v>
      </c>
      <c r="AU62" s="4"/>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row>
    <row r="63" spans="1:75" ht="15.75">
      <c r="A63" s="286" t="s">
        <v>136</v>
      </c>
      <c r="B63" s="325" t="s">
        <v>135</v>
      </c>
      <c r="C63" s="415">
        <v>4</v>
      </c>
      <c r="D63" s="415">
        <v>4</v>
      </c>
      <c r="E63" s="326">
        <f aca="true" t="shared" si="57" ref="E63:X63">SUM(E64:E67)</f>
        <v>34.49</v>
      </c>
      <c r="F63" s="326">
        <f t="shared" si="57"/>
        <v>15.3</v>
      </c>
      <c r="G63" s="326">
        <f t="shared" si="57"/>
        <v>15.635000000000002</v>
      </c>
      <c r="H63" s="326">
        <f t="shared" si="57"/>
        <v>2.8</v>
      </c>
      <c r="I63" s="326">
        <f t="shared" si="57"/>
        <v>0.5</v>
      </c>
      <c r="J63" s="326">
        <f t="shared" si="57"/>
        <v>0</v>
      </c>
      <c r="K63" s="326">
        <f t="shared" si="57"/>
        <v>7.9</v>
      </c>
      <c r="L63" s="326">
        <f t="shared" si="57"/>
        <v>0</v>
      </c>
      <c r="M63" s="326">
        <f t="shared" si="57"/>
        <v>0</v>
      </c>
      <c r="N63" s="326">
        <f t="shared" si="57"/>
        <v>0</v>
      </c>
      <c r="O63" s="326">
        <f t="shared" si="57"/>
        <v>3.95</v>
      </c>
      <c r="P63" s="326">
        <f t="shared" si="57"/>
        <v>0</v>
      </c>
      <c r="Q63" s="326">
        <f t="shared" si="57"/>
        <v>0</v>
      </c>
      <c r="R63" s="326">
        <f t="shared" si="57"/>
        <v>0</v>
      </c>
      <c r="S63" s="326">
        <f t="shared" si="57"/>
        <v>0</v>
      </c>
      <c r="T63" s="326">
        <f t="shared" si="57"/>
        <v>0</v>
      </c>
      <c r="U63" s="326">
        <f t="shared" si="57"/>
        <v>0.4850000000000001</v>
      </c>
      <c r="V63" s="326">
        <f t="shared" si="57"/>
        <v>0</v>
      </c>
      <c r="W63" s="326">
        <f t="shared" si="57"/>
        <v>0</v>
      </c>
      <c r="X63" s="326">
        <f t="shared" si="57"/>
        <v>3.555</v>
      </c>
      <c r="Y63" s="270">
        <f>ROUNDUP(SUM(Y64:Y67),-3)</f>
        <v>616682000</v>
      </c>
      <c r="Z63" s="313"/>
      <c r="AA63" s="327">
        <f>SUM(AA64:AA70)</f>
        <v>50.34575</v>
      </c>
      <c r="AB63" s="327">
        <f aca="true" t="shared" si="58" ref="AB63:AS63">SUM(AB64:AB70)</f>
        <v>23.97</v>
      </c>
      <c r="AC63" s="327">
        <f t="shared" si="58"/>
        <v>20.7575</v>
      </c>
      <c r="AD63" s="327">
        <f t="shared" si="58"/>
        <v>3.5</v>
      </c>
      <c r="AE63" s="327">
        <f t="shared" si="58"/>
        <v>1</v>
      </c>
      <c r="AF63" s="327">
        <f t="shared" si="58"/>
        <v>0</v>
      </c>
      <c r="AG63" s="327">
        <f t="shared" si="58"/>
        <v>10.145</v>
      </c>
      <c r="AH63" s="327">
        <f t="shared" si="58"/>
        <v>0</v>
      </c>
      <c r="AI63" s="327">
        <f t="shared" si="58"/>
        <v>0</v>
      </c>
      <c r="AJ63" s="327">
        <f t="shared" si="58"/>
        <v>0</v>
      </c>
      <c r="AK63" s="327">
        <f t="shared" si="58"/>
        <v>5.0725</v>
      </c>
      <c r="AL63" s="327">
        <f t="shared" si="58"/>
        <v>0</v>
      </c>
      <c r="AM63" s="327">
        <f t="shared" si="58"/>
        <v>0</v>
      </c>
      <c r="AN63" s="327">
        <f t="shared" si="58"/>
        <v>0.6</v>
      </c>
      <c r="AO63" s="327">
        <f t="shared" si="58"/>
        <v>0</v>
      </c>
      <c r="AP63" s="327">
        <f t="shared" si="58"/>
        <v>0</v>
      </c>
      <c r="AQ63" s="327">
        <f t="shared" si="58"/>
        <v>0</v>
      </c>
      <c r="AR63" s="327">
        <f t="shared" si="58"/>
        <v>0.44</v>
      </c>
      <c r="AS63" s="438">
        <f t="shared" si="58"/>
        <v>5.61825</v>
      </c>
      <c r="AT63" s="458">
        <f>SUM(AT64:AT70)</f>
        <v>725827425</v>
      </c>
      <c r="AU63" s="14"/>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row>
    <row r="64" spans="1:75" ht="15.75">
      <c r="A64" s="272">
        <v>1</v>
      </c>
      <c r="B64" s="321" t="s">
        <v>58</v>
      </c>
      <c r="C64" s="416"/>
      <c r="D64" s="416"/>
      <c r="E64" s="289">
        <f>F64+G64+X64</f>
        <v>8.521</v>
      </c>
      <c r="F64" s="275">
        <v>3.66</v>
      </c>
      <c r="G64" s="274">
        <f>H64+I64+J64+K64+L64+M64+N64+O64+P64+Q64+R64+S64+T64+U64+W64</f>
        <v>3.9699999999999998</v>
      </c>
      <c r="H64" s="274">
        <v>0.7</v>
      </c>
      <c r="I64" s="274">
        <v>0.3</v>
      </c>
      <c r="J64" s="274"/>
      <c r="K64" s="274">
        <f>(F64+I64+J64+M64)*0.5</f>
        <v>1.98</v>
      </c>
      <c r="L64" s="274"/>
      <c r="M64" s="274"/>
      <c r="N64" s="274"/>
      <c r="O64" s="289">
        <f>(F64+I64)*0.25</f>
        <v>0.99</v>
      </c>
      <c r="P64" s="274"/>
      <c r="Q64" s="274"/>
      <c r="R64" s="274"/>
      <c r="S64" s="275"/>
      <c r="T64" s="274"/>
      <c r="U64" s="289"/>
      <c r="V64" s="289"/>
      <c r="W64" s="289"/>
      <c r="X64" s="274">
        <f>(F64+I64)*0.225</f>
        <v>0.891</v>
      </c>
      <c r="Y64" s="277">
        <f>E64*1490000*12</f>
        <v>152355480.00000003</v>
      </c>
      <c r="Z64" s="313"/>
      <c r="AA64" s="328">
        <f aca="true" t="shared" si="59" ref="AA64:AA70">AB64+AC64+AS64</f>
        <v>9.692749999999998</v>
      </c>
      <c r="AB64" s="329">
        <v>3.99</v>
      </c>
      <c r="AC64" s="328">
        <f aca="true" t="shared" si="60" ref="AC64:AC70">SUM(AD64:AR64)</f>
        <v>4.7375</v>
      </c>
      <c r="AD64" s="329">
        <v>0.7</v>
      </c>
      <c r="AE64" s="329">
        <v>0.3</v>
      </c>
      <c r="AF64" s="329"/>
      <c r="AG64" s="328">
        <f>(AB64+AE64)*50%</f>
        <v>2.145</v>
      </c>
      <c r="AH64" s="329"/>
      <c r="AI64" s="329"/>
      <c r="AJ64" s="329"/>
      <c r="AK64" s="328">
        <f>(AB64+AE64)*25%</f>
        <v>1.0725</v>
      </c>
      <c r="AL64" s="329"/>
      <c r="AM64" s="329"/>
      <c r="AN64" s="329">
        <v>0.3</v>
      </c>
      <c r="AO64" s="329"/>
      <c r="AP64" s="329"/>
      <c r="AQ64" s="329"/>
      <c r="AR64" s="329">
        <v>0.22</v>
      </c>
      <c r="AS64" s="439">
        <f aca="true" t="shared" si="61" ref="AS64:AS70">(AB64+AE64)*22.5%</f>
        <v>0.96525</v>
      </c>
      <c r="AT64" s="459">
        <f>AA64*1490000*2</f>
        <v>28884394.999999996</v>
      </c>
      <c r="AU64" s="4"/>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row>
    <row r="65" spans="1:75" ht="15.75">
      <c r="A65" s="272">
        <v>2</v>
      </c>
      <c r="B65" s="321" t="s">
        <v>134</v>
      </c>
      <c r="C65" s="416"/>
      <c r="D65" s="416"/>
      <c r="E65" s="289">
        <f>F65+G65+X65</f>
        <v>10.763750000000002</v>
      </c>
      <c r="F65" s="275">
        <v>4.65</v>
      </c>
      <c r="G65" s="274">
        <f>H65+I65+J65+K65+L65+M65+N65+O65+P65+Q65+R65+S65+T65+U65+W65</f>
        <v>5.022500000000001</v>
      </c>
      <c r="H65" s="274">
        <v>0.7</v>
      </c>
      <c r="I65" s="274">
        <v>0.2</v>
      </c>
      <c r="J65" s="274"/>
      <c r="K65" s="274">
        <f>(F65+I65+J65+M65)*0.5</f>
        <v>2.4250000000000003</v>
      </c>
      <c r="L65" s="274"/>
      <c r="M65" s="274"/>
      <c r="N65" s="274"/>
      <c r="O65" s="289">
        <f>(F65+I65)*0.25</f>
        <v>1.2125000000000001</v>
      </c>
      <c r="P65" s="274"/>
      <c r="Q65" s="274"/>
      <c r="R65" s="274"/>
      <c r="S65" s="275"/>
      <c r="T65" s="274"/>
      <c r="U65" s="289">
        <f>(F65+I65)*0.1</f>
        <v>0.4850000000000001</v>
      </c>
      <c r="V65" s="289"/>
      <c r="W65" s="289"/>
      <c r="X65" s="274">
        <f>(F65+I65)*0.225</f>
        <v>1.09125</v>
      </c>
      <c r="Y65" s="277">
        <f>E65*1490000*12</f>
        <v>192455850.00000003</v>
      </c>
      <c r="Z65" s="330"/>
      <c r="AA65" s="328">
        <f t="shared" si="59"/>
        <v>10.0445</v>
      </c>
      <c r="AB65" s="328">
        <v>4.32</v>
      </c>
      <c r="AC65" s="328">
        <f t="shared" si="60"/>
        <v>4.685</v>
      </c>
      <c r="AD65" s="328">
        <v>0.7</v>
      </c>
      <c r="AE65" s="328">
        <v>0.3</v>
      </c>
      <c r="AF65" s="328"/>
      <c r="AG65" s="328">
        <f>(AB65+AE65)*50%</f>
        <v>2.31</v>
      </c>
      <c r="AH65" s="328"/>
      <c r="AI65" s="328"/>
      <c r="AJ65" s="328"/>
      <c r="AK65" s="328">
        <f>(AB65+AE65)*25%</f>
        <v>1.155</v>
      </c>
      <c r="AL65" s="328"/>
      <c r="AM65" s="328"/>
      <c r="AN65" s="328"/>
      <c r="AO65" s="328"/>
      <c r="AP65" s="328"/>
      <c r="AQ65" s="328"/>
      <c r="AR65" s="328">
        <v>0.22</v>
      </c>
      <c r="AS65" s="439">
        <f t="shared" si="61"/>
        <v>1.0395</v>
      </c>
      <c r="AT65" s="459">
        <f>AA65*1490000*10</f>
        <v>149663049.99999997</v>
      </c>
      <c r="AU65" s="4"/>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row>
    <row r="66" spans="1:75" ht="15.75">
      <c r="A66" s="286">
        <v>3</v>
      </c>
      <c r="B66" s="321" t="s">
        <v>133</v>
      </c>
      <c r="C66" s="416"/>
      <c r="D66" s="416"/>
      <c r="E66" s="289">
        <f>F66+G66+X66</f>
        <v>9.232000000000001</v>
      </c>
      <c r="F66" s="275">
        <v>4.32</v>
      </c>
      <c r="G66" s="274">
        <f>SUM(H66:W66)</f>
        <v>3.9400000000000004</v>
      </c>
      <c r="H66" s="274">
        <v>0.7</v>
      </c>
      <c r="I66" s="274"/>
      <c r="J66" s="274"/>
      <c r="K66" s="274">
        <f>(F66+I66)*50%</f>
        <v>2.16</v>
      </c>
      <c r="L66" s="274"/>
      <c r="M66" s="274"/>
      <c r="N66" s="274"/>
      <c r="O66" s="289">
        <f>(F66+I66)*25%</f>
        <v>1.08</v>
      </c>
      <c r="P66" s="274"/>
      <c r="Q66" s="274"/>
      <c r="R66" s="274"/>
      <c r="S66" s="275"/>
      <c r="T66" s="274"/>
      <c r="U66" s="274"/>
      <c r="V66" s="274"/>
      <c r="W66" s="289"/>
      <c r="X66" s="274">
        <f>(F66+I66)*0.225</f>
        <v>0.9720000000000001</v>
      </c>
      <c r="Y66" s="277">
        <f>E66*1490000*12</f>
        <v>165068160.00000003</v>
      </c>
      <c r="Z66" s="330"/>
      <c r="AA66" s="328">
        <f t="shared" si="59"/>
        <v>9.927</v>
      </c>
      <c r="AB66" s="328">
        <v>4.32</v>
      </c>
      <c r="AC66" s="328">
        <f t="shared" si="60"/>
        <v>4.59</v>
      </c>
      <c r="AD66" s="328">
        <v>0.7</v>
      </c>
      <c r="AE66" s="328">
        <v>0.2</v>
      </c>
      <c r="AF66" s="328"/>
      <c r="AG66" s="328">
        <f>(AB66+AE66)*50%</f>
        <v>2.2600000000000002</v>
      </c>
      <c r="AH66" s="328"/>
      <c r="AI66" s="328"/>
      <c r="AJ66" s="328"/>
      <c r="AK66" s="328">
        <f>(AB66+AE66)*25%</f>
        <v>1.1300000000000001</v>
      </c>
      <c r="AL66" s="328"/>
      <c r="AM66" s="328"/>
      <c r="AN66" s="328">
        <v>0.3</v>
      </c>
      <c r="AO66" s="328"/>
      <c r="AP66" s="328"/>
      <c r="AQ66" s="328"/>
      <c r="AR66" s="328"/>
      <c r="AS66" s="439">
        <f t="shared" si="61"/>
        <v>1.0170000000000001</v>
      </c>
      <c r="AT66" s="459">
        <f>AA66*1490000*12</f>
        <v>177494760</v>
      </c>
      <c r="AU66" s="4"/>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row>
    <row r="67" spans="1:75" ht="15.75">
      <c r="A67" s="272">
        <v>4</v>
      </c>
      <c r="B67" s="321" t="s">
        <v>132</v>
      </c>
      <c r="C67" s="416"/>
      <c r="D67" s="416"/>
      <c r="E67" s="289">
        <f>F67+G67+X67</f>
        <v>5.97325</v>
      </c>
      <c r="F67" s="275">
        <v>2.67</v>
      </c>
      <c r="G67" s="274">
        <f>H67+I67+J67+K67+L67+M67+N67+O67+P67+Q67+R67+S67+T67+U67+W67</f>
        <v>2.7025</v>
      </c>
      <c r="H67" s="274">
        <v>0.7</v>
      </c>
      <c r="I67" s="274"/>
      <c r="J67" s="274"/>
      <c r="K67" s="274">
        <f>(F67+I67+J67+M67)*0.5</f>
        <v>1.335</v>
      </c>
      <c r="L67" s="274"/>
      <c r="M67" s="274"/>
      <c r="N67" s="274"/>
      <c r="O67" s="289">
        <f>(F67+I67)*0.25</f>
        <v>0.6675</v>
      </c>
      <c r="P67" s="274"/>
      <c r="Q67" s="274"/>
      <c r="R67" s="274"/>
      <c r="S67" s="275"/>
      <c r="T67" s="274"/>
      <c r="U67" s="274"/>
      <c r="V67" s="274"/>
      <c r="W67" s="289"/>
      <c r="X67" s="274">
        <f>(F67+I67)*0.225</f>
        <v>0.60075</v>
      </c>
      <c r="Y67" s="277">
        <f>E67*1490000*12</f>
        <v>106801710</v>
      </c>
      <c r="Z67" s="330"/>
      <c r="AA67" s="328">
        <f t="shared" si="59"/>
        <v>8.97525</v>
      </c>
      <c r="AB67" s="328">
        <v>3.99</v>
      </c>
      <c r="AC67" s="328">
        <f t="shared" si="60"/>
        <v>4.0425</v>
      </c>
      <c r="AD67" s="328">
        <v>0.7</v>
      </c>
      <c r="AE67" s="328">
        <v>0.2</v>
      </c>
      <c r="AF67" s="328"/>
      <c r="AG67" s="328">
        <f>(AB67+AE67)*50%</f>
        <v>2.095</v>
      </c>
      <c r="AH67" s="328"/>
      <c r="AI67" s="328"/>
      <c r="AJ67" s="328"/>
      <c r="AK67" s="328">
        <f>(AB67+AE67)*25%</f>
        <v>1.0475</v>
      </c>
      <c r="AL67" s="328"/>
      <c r="AM67" s="328"/>
      <c r="AN67" s="328"/>
      <c r="AO67" s="328"/>
      <c r="AP67" s="328"/>
      <c r="AQ67" s="328"/>
      <c r="AR67" s="328"/>
      <c r="AS67" s="439">
        <f t="shared" si="61"/>
        <v>0.9427500000000001</v>
      </c>
      <c r="AT67" s="459">
        <f>AA67*1490000*12</f>
        <v>160477470.00000003</v>
      </c>
      <c r="AU67" s="4"/>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row>
    <row r="68" spans="1:75" ht="15.75">
      <c r="A68" s="286" t="s">
        <v>131</v>
      </c>
      <c r="B68" s="325" t="s">
        <v>130</v>
      </c>
      <c r="C68" s="415">
        <v>3</v>
      </c>
      <c r="D68" s="415">
        <v>2</v>
      </c>
      <c r="E68" s="326">
        <f aca="true" t="shared" si="62" ref="E68:U68">E69</f>
        <v>0</v>
      </c>
      <c r="F68" s="326">
        <f t="shared" si="62"/>
        <v>0</v>
      </c>
      <c r="G68" s="326">
        <f t="shared" si="62"/>
        <v>0</v>
      </c>
      <c r="H68" s="326">
        <f t="shared" si="62"/>
        <v>0</v>
      </c>
      <c r="I68" s="326">
        <f t="shared" si="62"/>
        <v>0</v>
      </c>
      <c r="J68" s="326">
        <f t="shared" si="62"/>
        <v>0</v>
      </c>
      <c r="K68" s="326">
        <f t="shared" si="62"/>
        <v>0</v>
      </c>
      <c r="L68" s="326">
        <f t="shared" si="62"/>
        <v>0</v>
      </c>
      <c r="M68" s="326">
        <f t="shared" si="62"/>
        <v>0</v>
      </c>
      <c r="N68" s="326">
        <f t="shared" si="62"/>
        <v>0</v>
      </c>
      <c r="O68" s="326">
        <f t="shared" si="62"/>
        <v>0</v>
      </c>
      <c r="P68" s="326">
        <f t="shared" si="62"/>
        <v>0</v>
      </c>
      <c r="Q68" s="326">
        <f t="shared" si="62"/>
        <v>0</v>
      </c>
      <c r="R68" s="326">
        <f t="shared" si="62"/>
        <v>0</v>
      </c>
      <c r="S68" s="326">
        <f t="shared" si="62"/>
        <v>0</v>
      </c>
      <c r="T68" s="326">
        <f t="shared" si="62"/>
        <v>0</v>
      </c>
      <c r="U68" s="326">
        <f t="shared" si="62"/>
        <v>0</v>
      </c>
      <c r="V68" s="326"/>
      <c r="W68" s="326">
        <f>W69</f>
        <v>0</v>
      </c>
      <c r="X68" s="326">
        <f>X69</f>
        <v>0</v>
      </c>
      <c r="Y68" s="270">
        <f>Y69</f>
        <v>0</v>
      </c>
      <c r="Z68" s="331"/>
      <c r="AA68" s="328">
        <f t="shared" si="59"/>
        <v>5.97325</v>
      </c>
      <c r="AB68" s="332">
        <v>2.67</v>
      </c>
      <c r="AC68" s="332">
        <f t="shared" si="60"/>
        <v>2.7025</v>
      </c>
      <c r="AD68" s="332">
        <v>0.7</v>
      </c>
      <c r="AE68" s="332"/>
      <c r="AF68" s="332"/>
      <c r="AG68" s="332">
        <f>(AB68+AE68)*50%</f>
        <v>1.335</v>
      </c>
      <c r="AH68" s="332"/>
      <c r="AI68" s="332"/>
      <c r="AJ68" s="332"/>
      <c r="AK68" s="332">
        <f>(AB68+AE68)*25%</f>
        <v>0.6675</v>
      </c>
      <c r="AL68" s="332"/>
      <c r="AM68" s="332"/>
      <c r="AN68" s="332"/>
      <c r="AO68" s="332"/>
      <c r="AP68" s="332"/>
      <c r="AQ68" s="332"/>
      <c r="AR68" s="332"/>
      <c r="AS68" s="440">
        <f t="shared" si="61"/>
        <v>0.60075</v>
      </c>
      <c r="AT68" s="459">
        <f>AA68*1490000*12</f>
        <v>106801710</v>
      </c>
      <c r="AU68" s="14"/>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row>
    <row r="69" spans="1:75" ht="15.75">
      <c r="A69" s="286"/>
      <c r="B69" s="325"/>
      <c r="C69" s="415"/>
      <c r="D69" s="415"/>
      <c r="E69" s="326"/>
      <c r="F69" s="333"/>
      <c r="G69" s="326"/>
      <c r="H69" s="326"/>
      <c r="I69" s="326"/>
      <c r="J69" s="326"/>
      <c r="K69" s="326"/>
      <c r="L69" s="326"/>
      <c r="M69" s="326"/>
      <c r="N69" s="326"/>
      <c r="O69" s="326"/>
      <c r="P69" s="326"/>
      <c r="Q69" s="326"/>
      <c r="R69" s="326"/>
      <c r="S69" s="276"/>
      <c r="T69" s="326"/>
      <c r="U69" s="326"/>
      <c r="V69" s="326"/>
      <c r="W69" s="326"/>
      <c r="X69" s="326"/>
      <c r="Y69" s="270"/>
      <c r="Z69" s="334"/>
      <c r="AA69" s="328">
        <f t="shared" si="59"/>
        <v>2.8665</v>
      </c>
      <c r="AB69" s="335">
        <v>2.34</v>
      </c>
      <c r="AC69" s="332">
        <f t="shared" si="60"/>
        <v>0</v>
      </c>
      <c r="AD69" s="335"/>
      <c r="AE69" s="335"/>
      <c r="AF69" s="335"/>
      <c r="AG69" s="335"/>
      <c r="AH69" s="335"/>
      <c r="AI69" s="335"/>
      <c r="AJ69" s="335"/>
      <c r="AK69" s="335"/>
      <c r="AL69" s="335"/>
      <c r="AM69" s="335"/>
      <c r="AN69" s="335"/>
      <c r="AO69" s="335"/>
      <c r="AP69" s="335"/>
      <c r="AQ69" s="335"/>
      <c r="AR69" s="335"/>
      <c r="AS69" s="441">
        <f t="shared" si="61"/>
        <v>0.5265</v>
      </c>
      <c r="AT69" s="459">
        <f>AA69*1490000*12</f>
        <v>51253020</v>
      </c>
      <c r="AU69" s="14"/>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row>
    <row r="70" spans="1:75" ht="15.75">
      <c r="A70" s="272"/>
      <c r="B70" s="321"/>
      <c r="C70" s="416"/>
      <c r="D70" s="416"/>
      <c r="E70" s="274"/>
      <c r="F70" s="275"/>
      <c r="G70" s="274"/>
      <c r="H70" s="274"/>
      <c r="I70" s="274"/>
      <c r="J70" s="274"/>
      <c r="K70" s="274"/>
      <c r="L70" s="274"/>
      <c r="M70" s="274"/>
      <c r="N70" s="274"/>
      <c r="O70" s="289"/>
      <c r="P70" s="274"/>
      <c r="Q70" s="274"/>
      <c r="R70" s="274"/>
      <c r="S70" s="275"/>
      <c r="T70" s="274"/>
      <c r="U70" s="274"/>
      <c r="V70" s="274"/>
      <c r="W70" s="289"/>
      <c r="X70" s="274"/>
      <c r="Y70" s="277"/>
      <c r="Z70" s="334"/>
      <c r="AA70" s="328">
        <f t="shared" si="59"/>
        <v>2.8665</v>
      </c>
      <c r="AB70" s="335">
        <v>2.34</v>
      </c>
      <c r="AC70" s="332">
        <f t="shared" si="60"/>
        <v>0</v>
      </c>
      <c r="AD70" s="335"/>
      <c r="AE70" s="335"/>
      <c r="AF70" s="335"/>
      <c r="AG70" s="335"/>
      <c r="AH70" s="335"/>
      <c r="AI70" s="335"/>
      <c r="AJ70" s="335"/>
      <c r="AK70" s="335"/>
      <c r="AL70" s="335"/>
      <c r="AM70" s="335"/>
      <c r="AN70" s="335"/>
      <c r="AO70" s="335"/>
      <c r="AP70" s="335"/>
      <c r="AQ70" s="335"/>
      <c r="AR70" s="335"/>
      <c r="AS70" s="441">
        <f t="shared" si="61"/>
        <v>0.5265</v>
      </c>
      <c r="AT70" s="459">
        <f>AA70*1490000*12</f>
        <v>51253020</v>
      </c>
      <c r="AU70" s="4"/>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row>
    <row r="71" spans="1:75" ht="15.75">
      <c r="A71" s="286"/>
      <c r="B71" s="321"/>
      <c r="C71" s="416"/>
      <c r="D71" s="416"/>
      <c r="E71" s="289"/>
      <c r="F71" s="275"/>
      <c r="G71" s="274"/>
      <c r="H71" s="274"/>
      <c r="I71" s="274"/>
      <c r="J71" s="274"/>
      <c r="K71" s="274"/>
      <c r="L71" s="274"/>
      <c r="M71" s="274"/>
      <c r="N71" s="274"/>
      <c r="O71" s="289"/>
      <c r="P71" s="274"/>
      <c r="Q71" s="274"/>
      <c r="R71" s="274"/>
      <c r="S71" s="275"/>
      <c r="T71" s="274"/>
      <c r="U71" s="274"/>
      <c r="V71" s="274"/>
      <c r="W71" s="289"/>
      <c r="X71" s="274"/>
      <c r="Y71" s="277"/>
      <c r="Z71" s="313"/>
      <c r="AA71" s="313">
        <f>SUM(AA73:AA77)</f>
        <v>44.96625</v>
      </c>
      <c r="AB71" s="313">
        <f aca="true" t="shared" si="63" ref="AB71:AT71">SUM(AB73:AB77)</f>
        <v>19.950000000000003</v>
      </c>
      <c r="AC71" s="313">
        <f t="shared" si="63"/>
        <v>20.347500000000004</v>
      </c>
      <c r="AD71" s="313">
        <f t="shared" si="63"/>
        <v>3.5</v>
      </c>
      <c r="AE71" s="313">
        <f t="shared" si="63"/>
        <v>0.8</v>
      </c>
      <c r="AF71" s="313">
        <f t="shared" si="63"/>
        <v>0</v>
      </c>
      <c r="AG71" s="313">
        <f t="shared" si="63"/>
        <v>10.375</v>
      </c>
      <c r="AH71" s="313">
        <f t="shared" si="63"/>
        <v>0</v>
      </c>
      <c r="AI71" s="313">
        <f t="shared" si="63"/>
        <v>0</v>
      </c>
      <c r="AJ71" s="313">
        <f t="shared" si="63"/>
        <v>0</v>
      </c>
      <c r="AK71" s="313">
        <f t="shared" si="63"/>
        <v>5.1875</v>
      </c>
      <c r="AL71" s="313">
        <f t="shared" si="63"/>
        <v>0</v>
      </c>
      <c r="AM71" s="313">
        <f t="shared" si="63"/>
        <v>0</v>
      </c>
      <c r="AN71" s="313">
        <f t="shared" si="63"/>
        <v>0</v>
      </c>
      <c r="AO71" s="313">
        <f t="shared" si="63"/>
        <v>0</v>
      </c>
      <c r="AP71" s="313">
        <f t="shared" si="63"/>
        <v>0</v>
      </c>
      <c r="AQ71" s="313">
        <f t="shared" si="63"/>
        <v>0.4850000000000001</v>
      </c>
      <c r="AR71" s="313">
        <f t="shared" si="63"/>
        <v>0</v>
      </c>
      <c r="AS71" s="436">
        <f t="shared" si="63"/>
        <v>4.66875</v>
      </c>
      <c r="AT71" s="457">
        <f t="shared" si="63"/>
        <v>630204812.5</v>
      </c>
      <c r="AU71" s="4"/>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row>
    <row r="72" spans="1:75" ht="15.75">
      <c r="A72" s="272"/>
      <c r="B72" s="321"/>
      <c r="C72" s="416"/>
      <c r="D72" s="416"/>
      <c r="E72" s="274"/>
      <c r="F72" s="275"/>
      <c r="G72" s="274"/>
      <c r="H72" s="274"/>
      <c r="I72" s="274"/>
      <c r="J72" s="274"/>
      <c r="K72" s="274"/>
      <c r="L72" s="274"/>
      <c r="M72" s="274"/>
      <c r="N72" s="274"/>
      <c r="O72" s="289"/>
      <c r="P72" s="274"/>
      <c r="Q72" s="274"/>
      <c r="R72" s="274"/>
      <c r="S72" s="275"/>
      <c r="T72" s="274"/>
      <c r="U72" s="274"/>
      <c r="V72" s="274"/>
      <c r="W72" s="289"/>
      <c r="X72" s="274"/>
      <c r="Y72" s="277"/>
      <c r="Z72" s="313">
        <v>6</v>
      </c>
      <c r="AA72" s="313">
        <f>SUM(AA73:AA77)</f>
        <v>44.96625</v>
      </c>
      <c r="AB72" s="313">
        <f aca="true" t="shared" si="64" ref="AB72:AS72">SUM(AB73:AB77)</f>
        <v>19.950000000000003</v>
      </c>
      <c r="AC72" s="313">
        <f t="shared" si="64"/>
        <v>20.347500000000004</v>
      </c>
      <c r="AD72" s="313">
        <f t="shared" si="64"/>
        <v>3.5</v>
      </c>
      <c r="AE72" s="313">
        <f t="shared" si="64"/>
        <v>0.8</v>
      </c>
      <c r="AF72" s="313">
        <f t="shared" si="64"/>
        <v>0</v>
      </c>
      <c r="AG72" s="313">
        <f t="shared" si="64"/>
        <v>10.375</v>
      </c>
      <c r="AH72" s="313">
        <f t="shared" si="64"/>
        <v>0</v>
      </c>
      <c r="AI72" s="313">
        <f t="shared" si="64"/>
        <v>0</v>
      </c>
      <c r="AJ72" s="313">
        <f t="shared" si="64"/>
        <v>0</v>
      </c>
      <c r="AK72" s="313">
        <f t="shared" si="64"/>
        <v>5.1875</v>
      </c>
      <c r="AL72" s="313">
        <f t="shared" si="64"/>
        <v>0</v>
      </c>
      <c r="AM72" s="313">
        <f t="shared" si="64"/>
        <v>0</v>
      </c>
      <c r="AN72" s="313">
        <f t="shared" si="64"/>
        <v>0</v>
      </c>
      <c r="AO72" s="313">
        <f t="shared" si="64"/>
        <v>0</v>
      </c>
      <c r="AP72" s="313">
        <f t="shared" si="64"/>
        <v>0</v>
      </c>
      <c r="AQ72" s="313">
        <f t="shared" si="64"/>
        <v>0.4850000000000001</v>
      </c>
      <c r="AR72" s="313">
        <f t="shared" si="64"/>
        <v>0</v>
      </c>
      <c r="AS72" s="436">
        <f t="shared" si="64"/>
        <v>4.66875</v>
      </c>
      <c r="AT72" s="339">
        <f>SUM(AT73:AT77)</f>
        <v>630204812.5</v>
      </c>
      <c r="AU72" s="4"/>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row>
    <row r="73" spans="1:75" ht="15.75">
      <c r="A73" s="286" t="s">
        <v>129</v>
      </c>
      <c r="B73" s="325" t="s">
        <v>128</v>
      </c>
      <c r="C73" s="415">
        <v>5</v>
      </c>
      <c r="D73" s="415">
        <v>5</v>
      </c>
      <c r="E73" s="269">
        <f aca="true" t="shared" si="65" ref="E73:X73">SUM(E74:E78)</f>
        <v>39.859750000000005</v>
      </c>
      <c r="F73" s="269">
        <f t="shared" si="65"/>
        <v>17.71</v>
      </c>
      <c r="G73" s="269">
        <f t="shared" si="65"/>
        <v>18.0075</v>
      </c>
      <c r="H73" s="269">
        <f t="shared" si="65"/>
        <v>3.5</v>
      </c>
      <c r="I73" s="269">
        <f t="shared" si="65"/>
        <v>0.7</v>
      </c>
      <c r="J73" s="269">
        <f t="shared" si="65"/>
        <v>0</v>
      </c>
      <c r="K73" s="269">
        <f t="shared" si="65"/>
        <v>9.205000000000002</v>
      </c>
      <c r="L73" s="269">
        <f t="shared" si="65"/>
        <v>0</v>
      </c>
      <c r="M73" s="269">
        <f t="shared" si="65"/>
        <v>0</v>
      </c>
      <c r="N73" s="269">
        <f t="shared" si="65"/>
        <v>0</v>
      </c>
      <c r="O73" s="269">
        <f t="shared" si="65"/>
        <v>4.602500000000001</v>
      </c>
      <c r="P73" s="269">
        <f t="shared" si="65"/>
        <v>0</v>
      </c>
      <c r="Q73" s="269">
        <f t="shared" si="65"/>
        <v>0</v>
      </c>
      <c r="R73" s="269">
        <f t="shared" si="65"/>
        <v>0</v>
      </c>
      <c r="S73" s="269">
        <f t="shared" si="65"/>
        <v>0</v>
      </c>
      <c r="T73" s="269">
        <f t="shared" si="65"/>
        <v>0</v>
      </c>
      <c r="U73" s="269">
        <f t="shared" si="65"/>
        <v>0</v>
      </c>
      <c r="V73" s="269">
        <f t="shared" si="65"/>
        <v>0</v>
      </c>
      <c r="W73" s="269">
        <f t="shared" si="65"/>
        <v>0</v>
      </c>
      <c r="X73" s="269">
        <f t="shared" si="65"/>
        <v>4.142250000000001</v>
      </c>
      <c r="Y73" s="269">
        <f>ROUNDUP(SUM(Y74:Y78),-3)</f>
        <v>712693000</v>
      </c>
      <c r="Z73" s="318"/>
      <c r="AA73" s="318">
        <f>AB73+AC73+AS73</f>
        <v>8.521</v>
      </c>
      <c r="AB73" s="318">
        <v>3.66</v>
      </c>
      <c r="AC73" s="318">
        <f>SUM(AD73:AR73)</f>
        <v>3.9699999999999998</v>
      </c>
      <c r="AD73" s="318">
        <v>0.7</v>
      </c>
      <c r="AE73" s="318">
        <v>0.3</v>
      </c>
      <c r="AF73" s="318"/>
      <c r="AG73" s="318">
        <f>0.5*(AB73+AE73)</f>
        <v>1.98</v>
      </c>
      <c r="AH73" s="318"/>
      <c r="AI73" s="318"/>
      <c r="AJ73" s="318"/>
      <c r="AK73" s="318">
        <f>0.25*(AB73+AE73)</f>
        <v>0.99</v>
      </c>
      <c r="AL73" s="318"/>
      <c r="AM73" s="318"/>
      <c r="AN73" s="318"/>
      <c r="AO73" s="318"/>
      <c r="AP73" s="318"/>
      <c r="AQ73" s="318"/>
      <c r="AR73" s="318"/>
      <c r="AS73" s="442">
        <f>(AB73+AE73)*22.5%</f>
        <v>0.891</v>
      </c>
      <c r="AT73" s="460">
        <f>AA73*1490000*2</f>
        <v>25392580.000000004</v>
      </c>
      <c r="AU73" s="14"/>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row>
    <row r="74" spans="1:75" ht="15.75">
      <c r="A74" s="272">
        <v>1</v>
      </c>
      <c r="B74" s="273" t="s">
        <v>24</v>
      </c>
      <c r="C74" s="416"/>
      <c r="D74" s="416"/>
      <c r="E74" s="274">
        <f>F74+G74+X74</f>
        <v>8.521</v>
      </c>
      <c r="F74" s="275">
        <v>3.66</v>
      </c>
      <c r="G74" s="274">
        <f>H74+I74+J74+K74+L74+M74+N74+O74+P74+Q74+R74+S74+T74+U74+W74</f>
        <v>3.9699999999999998</v>
      </c>
      <c r="H74" s="274">
        <v>0.7</v>
      </c>
      <c r="I74" s="274">
        <v>0.3</v>
      </c>
      <c r="J74" s="274"/>
      <c r="K74" s="274">
        <f>(F74+I74+J74+M74)*0.5</f>
        <v>1.98</v>
      </c>
      <c r="L74" s="274"/>
      <c r="M74" s="274"/>
      <c r="N74" s="274"/>
      <c r="O74" s="289">
        <f>(F74+I74)*0.25</f>
        <v>0.99</v>
      </c>
      <c r="P74" s="274"/>
      <c r="Q74" s="274"/>
      <c r="R74" s="274"/>
      <c r="S74" s="275"/>
      <c r="T74" s="274"/>
      <c r="U74" s="274"/>
      <c r="V74" s="274"/>
      <c r="W74" s="274"/>
      <c r="X74" s="274">
        <f>(F74+I74)*0.225</f>
        <v>0.891</v>
      </c>
      <c r="Y74" s="277">
        <f>E74*1490000*12</f>
        <v>152355480.00000003</v>
      </c>
      <c r="Z74" s="318"/>
      <c r="AA74" s="318">
        <f>AB74+AC74+AS74</f>
        <v>10.47625</v>
      </c>
      <c r="AB74" s="318">
        <v>4.65</v>
      </c>
      <c r="AC74" s="318">
        <f>SUM(AD74:AR74)</f>
        <v>4.7125</v>
      </c>
      <c r="AD74" s="318">
        <v>0.7</v>
      </c>
      <c r="AE74" s="318">
        <v>0.3</v>
      </c>
      <c r="AF74" s="318"/>
      <c r="AG74" s="318">
        <f>0.5*(AB74+AE74)</f>
        <v>2.475</v>
      </c>
      <c r="AH74" s="318"/>
      <c r="AI74" s="318"/>
      <c r="AJ74" s="318"/>
      <c r="AK74" s="318">
        <f>0.25*(AB74+AE74)</f>
        <v>1.2375</v>
      </c>
      <c r="AL74" s="318"/>
      <c r="AM74" s="318"/>
      <c r="AN74" s="318"/>
      <c r="AO74" s="318"/>
      <c r="AP74" s="318"/>
      <c r="AQ74" s="318"/>
      <c r="AR74" s="318"/>
      <c r="AS74" s="442">
        <f>(AB74+AE74)*22.5%</f>
        <v>1.11375</v>
      </c>
      <c r="AT74" s="460">
        <f>AA74*1490000*9</f>
        <v>140486512.5</v>
      </c>
      <c r="AU74" s="4"/>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row>
    <row r="75" spans="1:75" ht="15.75">
      <c r="A75" s="272">
        <v>2</v>
      </c>
      <c r="B75" s="273" t="s">
        <v>127</v>
      </c>
      <c r="C75" s="416"/>
      <c r="D75" s="416"/>
      <c r="E75" s="274">
        <f>F75+G75+X75</f>
        <v>8.97525</v>
      </c>
      <c r="F75" s="275">
        <v>3.99</v>
      </c>
      <c r="G75" s="274">
        <f>H75+I75+J75+K75+L75+M75+N75+O75+P75+Q75+R75+S75+T75+U75+W75</f>
        <v>4.0425</v>
      </c>
      <c r="H75" s="274">
        <v>0.7</v>
      </c>
      <c r="I75" s="274">
        <v>0.2</v>
      </c>
      <c r="J75" s="274"/>
      <c r="K75" s="274">
        <f>(F75+I75+J75+M75)*0.5</f>
        <v>2.095</v>
      </c>
      <c r="L75" s="274"/>
      <c r="M75" s="274"/>
      <c r="N75" s="274"/>
      <c r="O75" s="289">
        <f>(F75+I75)*0.25</f>
        <v>1.0475</v>
      </c>
      <c r="P75" s="274"/>
      <c r="Q75" s="274"/>
      <c r="R75" s="274"/>
      <c r="S75" s="275"/>
      <c r="T75" s="274"/>
      <c r="U75" s="274"/>
      <c r="V75" s="274"/>
      <c r="W75" s="274"/>
      <c r="X75" s="274">
        <f>(F75+I75)*0.225</f>
        <v>0.9427500000000001</v>
      </c>
      <c r="Y75" s="277">
        <f>E75*1490000*12</f>
        <v>160477470.00000003</v>
      </c>
      <c r="Z75" s="318"/>
      <c r="AA75" s="318">
        <f>AB75+AC75+AS75</f>
        <v>10.763750000000002</v>
      </c>
      <c r="AB75" s="318">
        <v>4.65</v>
      </c>
      <c r="AC75" s="318">
        <f>SUM(AD75:AR75)</f>
        <v>5.022500000000001</v>
      </c>
      <c r="AD75" s="318">
        <v>0.7</v>
      </c>
      <c r="AE75" s="318">
        <v>0.2</v>
      </c>
      <c r="AF75" s="318"/>
      <c r="AG75" s="318">
        <f>0.5*(AB75+AE75)</f>
        <v>2.4250000000000003</v>
      </c>
      <c r="AH75" s="318"/>
      <c r="AI75" s="318"/>
      <c r="AJ75" s="318"/>
      <c r="AK75" s="318">
        <f>0.25*(AB75+AE75)</f>
        <v>1.2125000000000001</v>
      </c>
      <c r="AL75" s="318"/>
      <c r="AM75" s="318"/>
      <c r="AN75" s="318"/>
      <c r="AO75" s="318"/>
      <c r="AP75" s="318"/>
      <c r="AQ75" s="336">
        <f>(AB75+AE75)*10%</f>
        <v>0.4850000000000001</v>
      </c>
      <c r="AR75" s="318"/>
      <c r="AS75" s="442">
        <f>(AB75+AE75)*22.5%</f>
        <v>1.09125</v>
      </c>
      <c r="AT75" s="460">
        <f>AA75*1490000*12</f>
        <v>192455850.00000003</v>
      </c>
      <c r="AU75" s="4"/>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row>
    <row r="76" spans="1:75" ht="15.75">
      <c r="A76" s="272">
        <v>3</v>
      </c>
      <c r="B76" s="273" t="s">
        <v>126</v>
      </c>
      <c r="C76" s="416"/>
      <c r="D76" s="416"/>
      <c r="E76" s="274">
        <f>F76+G76+X76</f>
        <v>9.626999999999999</v>
      </c>
      <c r="F76" s="275">
        <v>4.32</v>
      </c>
      <c r="G76" s="274">
        <f>H76+I76+J76+K76+L76+M76+N76+O76+P76+Q76+R76+S76+T76+U76+W76</f>
        <v>4.29</v>
      </c>
      <c r="H76" s="274">
        <v>0.7</v>
      </c>
      <c r="I76" s="274">
        <v>0.2</v>
      </c>
      <c r="J76" s="274"/>
      <c r="K76" s="274">
        <f>(F76+I76+J76+M76)*0.5</f>
        <v>2.2600000000000002</v>
      </c>
      <c r="L76" s="274"/>
      <c r="M76" s="274"/>
      <c r="N76" s="274"/>
      <c r="O76" s="289">
        <f>(F76+I76)*0.25</f>
        <v>1.1300000000000001</v>
      </c>
      <c r="P76" s="274"/>
      <c r="Q76" s="274"/>
      <c r="R76" s="274"/>
      <c r="S76" s="275"/>
      <c r="T76" s="274"/>
      <c r="U76" s="274"/>
      <c r="V76" s="274"/>
      <c r="W76" s="274"/>
      <c r="X76" s="274">
        <f>(F76+I76)*0.225</f>
        <v>1.0170000000000001</v>
      </c>
      <c r="Y76" s="277">
        <f>E76*1490000*12</f>
        <v>172130759.99999997</v>
      </c>
      <c r="Z76" s="318"/>
      <c r="AA76" s="318">
        <f>AB76+AC76+AS76</f>
        <v>9.232000000000001</v>
      </c>
      <c r="AB76" s="318">
        <v>4.32</v>
      </c>
      <c r="AC76" s="318">
        <f>SUM(AD76:AR76)</f>
        <v>3.9400000000000004</v>
      </c>
      <c r="AD76" s="318">
        <v>0.7</v>
      </c>
      <c r="AE76" s="318"/>
      <c r="AF76" s="318"/>
      <c r="AG76" s="318">
        <f>0.5*(AB76+AE76)</f>
        <v>2.16</v>
      </c>
      <c r="AH76" s="318"/>
      <c r="AI76" s="318"/>
      <c r="AJ76" s="318"/>
      <c r="AK76" s="318">
        <f>0.25*(AB76+AE76)</f>
        <v>1.08</v>
      </c>
      <c r="AL76" s="318"/>
      <c r="AM76" s="318"/>
      <c r="AN76" s="318"/>
      <c r="AO76" s="318"/>
      <c r="AP76" s="318"/>
      <c r="AQ76" s="318"/>
      <c r="AR76" s="318"/>
      <c r="AS76" s="442">
        <f>(AB76+AE76)*22.5%</f>
        <v>0.9720000000000001</v>
      </c>
      <c r="AT76" s="460">
        <f>AA76*1490000*12</f>
        <v>165068160.00000003</v>
      </c>
      <c r="AU76" s="4"/>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row>
    <row r="77" spans="1:75" ht="15.75">
      <c r="A77" s="272">
        <v>4</v>
      </c>
      <c r="B77" s="337" t="s">
        <v>125</v>
      </c>
      <c r="C77" s="416"/>
      <c r="D77" s="416"/>
      <c r="E77" s="274">
        <f>F77+G77+X77</f>
        <v>5.4597500000000005</v>
      </c>
      <c r="F77" s="275">
        <v>2.41</v>
      </c>
      <c r="G77" s="274">
        <f>H77+I77+J77+K77+L77+M77+N77+O77+P77+Q77+R77+S77+T77+U77+W77</f>
        <v>2.5075000000000003</v>
      </c>
      <c r="H77" s="274">
        <v>0.7</v>
      </c>
      <c r="I77" s="274"/>
      <c r="J77" s="274"/>
      <c r="K77" s="274">
        <f>(F77+I77+J77+M77)*0.5</f>
        <v>1.205</v>
      </c>
      <c r="L77" s="274"/>
      <c r="M77" s="274"/>
      <c r="N77" s="274"/>
      <c r="O77" s="289">
        <f>(F77+I77)*0.25</f>
        <v>0.6025</v>
      </c>
      <c r="P77" s="274"/>
      <c r="Q77" s="274"/>
      <c r="R77" s="274"/>
      <c r="S77" s="275"/>
      <c r="T77" s="274"/>
      <c r="U77" s="274"/>
      <c r="V77" s="274"/>
      <c r="W77" s="274"/>
      <c r="X77" s="274">
        <f>(F77+I77)*0.225</f>
        <v>0.54225</v>
      </c>
      <c r="Y77" s="277">
        <f>E77*1490000*12</f>
        <v>97620330.00000001</v>
      </c>
      <c r="Z77" s="318"/>
      <c r="AA77" s="318">
        <f>AB77+AC77+AS77</f>
        <v>5.97325</v>
      </c>
      <c r="AB77" s="318">
        <v>2.67</v>
      </c>
      <c r="AC77" s="318">
        <f>SUM(AD77:AR77)</f>
        <v>2.7025</v>
      </c>
      <c r="AD77" s="318">
        <v>0.7</v>
      </c>
      <c r="AE77" s="318"/>
      <c r="AF77" s="318"/>
      <c r="AG77" s="318">
        <f>0.5*(AB77+AE77)</f>
        <v>1.335</v>
      </c>
      <c r="AH77" s="318"/>
      <c r="AI77" s="318"/>
      <c r="AJ77" s="318"/>
      <c r="AK77" s="318">
        <f>0.25*(AB77+AE77)</f>
        <v>0.6675</v>
      </c>
      <c r="AL77" s="318"/>
      <c r="AM77" s="318"/>
      <c r="AN77" s="318"/>
      <c r="AO77" s="318"/>
      <c r="AP77" s="318"/>
      <c r="AQ77" s="318"/>
      <c r="AR77" s="318"/>
      <c r="AS77" s="442">
        <f>(AB77+AE77)*22.5%</f>
        <v>0.60075</v>
      </c>
      <c r="AT77" s="460">
        <f>AA77*1490000*12</f>
        <v>106801710</v>
      </c>
      <c r="AU77" s="4"/>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row>
    <row r="78" spans="1:75" ht="15.75">
      <c r="A78" s="272">
        <v>5</v>
      </c>
      <c r="B78" s="337" t="s">
        <v>124</v>
      </c>
      <c r="C78" s="416"/>
      <c r="D78" s="416"/>
      <c r="E78" s="274">
        <f>F78+G78+X78</f>
        <v>7.27675</v>
      </c>
      <c r="F78" s="275">
        <v>3.33</v>
      </c>
      <c r="G78" s="274">
        <f>H78+I78+J78+K78+L78+M78+N78+O78+P78+Q78+R78+S78+T78+U78+W78</f>
        <v>3.1975000000000002</v>
      </c>
      <c r="H78" s="274">
        <v>0.7</v>
      </c>
      <c r="I78" s="274"/>
      <c r="J78" s="274"/>
      <c r="K78" s="274">
        <f>(F78+I78+J78+M78)*0.5</f>
        <v>1.665</v>
      </c>
      <c r="L78" s="274"/>
      <c r="M78" s="274"/>
      <c r="N78" s="274"/>
      <c r="O78" s="289">
        <f>(F78+I78)*0.25</f>
        <v>0.8325</v>
      </c>
      <c r="P78" s="274"/>
      <c r="Q78" s="274"/>
      <c r="R78" s="274"/>
      <c r="S78" s="275"/>
      <c r="T78" s="274"/>
      <c r="U78" s="274"/>
      <c r="V78" s="274"/>
      <c r="W78" s="274"/>
      <c r="X78" s="274">
        <f>(F78+I78)*0.225</f>
        <v>0.7492500000000001</v>
      </c>
      <c r="Y78" s="277">
        <f>E78*1490000*12</f>
        <v>130108290</v>
      </c>
      <c r="Z78" s="313"/>
      <c r="AA78" s="313">
        <f>SUM(AA79:AA82)</f>
        <v>23.729</v>
      </c>
      <c r="AB78" s="313">
        <f aca="true" t="shared" si="66" ref="AB78:AS78">SUM(AB79:AB82)</f>
        <v>11.64</v>
      </c>
      <c r="AC78" s="313">
        <f t="shared" si="66"/>
        <v>9.425</v>
      </c>
      <c r="AD78" s="313">
        <f t="shared" si="66"/>
        <v>2.0999999999999996</v>
      </c>
      <c r="AE78" s="313">
        <f t="shared" si="66"/>
        <v>0.2</v>
      </c>
      <c r="AF78" s="313">
        <f t="shared" si="66"/>
        <v>0</v>
      </c>
      <c r="AG78" s="313">
        <f t="shared" si="66"/>
        <v>4.75</v>
      </c>
      <c r="AH78" s="313">
        <f t="shared" si="66"/>
        <v>0</v>
      </c>
      <c r="AI78" s="313">
        <f t="shared" si="66"/>
        <v>0</v>
      </c>
      <c r="AJ78" s="313">
        <f t="shared" si="66"/>
        <v>0</v>
      </c>
      <c r="AK78" s="313">
        <f t="shared" si="66"/>
        <v>2.375</v>
      </c>
      <c r="AL78" s="313">
        <f t="shared" si="66"/>
        <v>0</v>
      </c>
      <c r="AM78" s="313">
        <f t="shared" si="66"/>
        <v>0</v>
      </c>
      <c r="AN78" s="313">
        <f t="shared" si="66"/>
        <v>0</v>
      </c>
      <c r="AO78" s="313">
        <f t="shared" si="66"/>
        <v>0</v>
      </c>
      <c r="AP78" s="313">
        <f t="shared" si="66"/>
        <v>0</v>
      </c>
      <c r="AQ78" s="313">
        <f t="shared" si="66"/>
        <v>0</v>
      </c>
      <c r="AR78" s="313">
        <f t="shared" si="66"/>
        <v>0</v>
      </c>
      <c r="AS78" s="436">
        <f t="shared" si="66"/>
        <v>2.664</v>
      </c>
      <c r="AT78" s="339">
        <f>SUM(AT79:AT82)</f>
        <v>424274520</v>
      </c>
      <c r="AU78" s="4"/>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row>
    <row r="79" spans="1:75" ht="31.5">
      <c r="A79" s="286" t="s">
        <v>123</v>
      </c>
      <c r="B79" s="266" t="s">
        <v>122</v>
      </c>
      <c r="C79" s="415">
        <v>4</v>
      </c>
      <c r="D79" s="415">
        <v>3</v>
      </c>
      <c r="E79" s="269">
        <f aca="true" t="shared" si="67" ref="E79:X79">SUM(E80:E83)</f>
        <v>23.729</v>
      </c>
      <c r="F79" s="269">
        <f t="shared" si="67"/>
        <v>11.64</v>
      </c>
      <c r="G79" s="269">
        <f t="shared" si="67"/>
        <v>9.425</v>
      </c>
      <c r="H79" s="269">
        <f t="shared" si="67"/>
        <v>2.0999999999999996</v>
      </c>
      <c r="I79" s="269">
        <f t="shared" si="67"/>
        <v>0.2</v>
      </c>
      <c r="J79" s="269">
        <f t="shared" si="67"/>
        <v>0</v>
      </c>
      <c r="K79" s="269">
        <f t="shared" si="67"/>
        <v>4.75</v>
      </c>
      <c r="L79" s="269">
        <f t="shared" si="67"/>
        <v>0</v>
      </c>
      <c r="M79" s="269">
        <f t="shared" si="67"/>
        <v>0</v>
      </c>
      <c r="N79" s="269">
        <f t="shared" si="67"/>
        <v>0</v>
      </c>
      <c r="O79" s="269">
        <f t="shared" si="67"/>
        <v>2.375</v>
      </c>
      <c r="P79" s="269">
        <f t="shared" si="67"/>
        <v>0</v>
      </c>
      <c r="Q79" s="269">
        <f t="shared" si="67"/>
        <v>0</v>
      </c>
      <c r="R79" s="269">
        <f t="shared" si="67"/>
        <v>0</v>
      </c>
      <c r="S79" s="269">
        <f t="shared" si="67"/>
        <v>0</v>
      </c>
      <c r="T79" s="269">
        <f t="shared" si="67"/>
        <v>0</v>
      </c>
      <c r="U79" s="269">
        <f t="shared" si="67"/>
        <v>0</v>
      </c>
      <c r="V79" s="269">
        <f t="shared" si="67"/>
        <v>0</v>
      </c>
      <c r="W79" s="269">
        <f t="shared" si="67"/>
        <v>0</v>
      </c>
      <c r="X79" s="269">
        <f t="shared" si="67"/>
        <v>2.664</v>
      </c>
      <c r="Y79" s="269">
        <f>ROUNDUP(SUM(Y80:Y83),0)</f>
        <v>424274520</v>
      </c>
      <c r="Z79" s="318"/>
      <c r="AA79" s="318">
        <f>AB79+AC79+AS79</f>
        <v>8.916</v>
      </c>
      <c r="AB79" s="318">
        <v>3.96</v>
      </c>
      <c r="AC79" s="318">
        <f>SUM(AD79:AR79)</f>
        <v>4.02</v>
      </c>
      <c r="AD79" s="318">
        <v>0.7</v>
      </c>
      <c r="AE79" s="318">
        <v>0.2</v>
      </c>
      <c r="AF79" s="318"/>
      <c r="AG79" s="318">
        <f>0.5*(AB79+AE79)</f>
        <v>2.08</v>
      </c>
      <c r="AH79" s="318"/>
      <c r="AI79" s="318"/>
      <c r="AJ79" s="318"/>
      <c r="AK79" s="318">
        <f>0.25*(AB79+AE79)</f>
        <v>1.04</v>
      </c>
      <c r="AL79" s="318"/>
      <c r="AM79" s="318"/>
      <c r="AN79" s="318"/>
      <c r="AO79" s="318"/>
      <c r="AP79" s="318"/>
      <c r="AQ79" s="318"/>
      <c r="AR79" s="318"/>
      <c r="AS79" s="442">
        <f>(AB79+AE79)*22.5%</f>
        <v>0.936</v>
      </c>
      <c r="AT79" s="461">
        <f>AA79*1490000*12</f>
        <v>159418080</v>
      </c>
      <c r="AU79" s="14"/>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row>
    <row r="80" spans="1:75" ht="15.75">
      <c r="A80" s="272">
        <v>1</v>
      </c>
      <c r="B80" s="337" t="s">
        <v>57</v>
      </c>
      <c r="C80" s="416"/>
      <c r="D80" s="416"/>
      <c r="E80" s="274">
        <f>F80+G80+X80</f>
        <v>8.916</v>
      </c>
      <c r="F80" s="275">
        <v>3.96</v>
      </c>
      <c r="G80" s="274">
        <f>H80+I80+J80+K80+L80+M80+N80+O80+P80+Q80+R80+S80+T80+U80+W80</f>
        <v>4.02</v>
      </c>
      <c r="H80" s="274">
        <v>0.7</v>
      </c>
      <c r="I80" s="274">
        <v>0.2</v>
      </c>
      <c r="J80" s="274"/>
      <c r="K80" s="274">
        <f>(F80+I80)*50%</f>
        <v>2.08</v>
      </c>
      <c r="L80" s="274"/>
      <c r="M80" s="274"/>
      <c r="N80" s="274"/>
      <c r="O80" s="289">
        <f>(F80+I80)*25%</f>
        <v>1.04</v>
      </c>
      <c r="P80" s="274"/>
      <c r="Q80" s="274"/>
      <c r="R80" s="274"/>
      <c r="S80" s="275"/>
      <c r="T80" s="274"/>
      <c r="U80" s="274"/>
      <c r="V80" s="274"/>
      <c r="W80" s="274"/>
      <c r="X80" s="274">
        <f>(F80+I80)*22.5%</f>
        <v>0.936</v>
      </c>
      <c r="Y80" s="277">
        <f>E80*1490000*12</f>
        <v>159418080</v>
      </c>
      <c r="Z80" s="318"/>
      <c r="AA80" s="318">
        <f>AB80+AC80+AS80</f>
        <v>6.625</v>
      </c>
      <c r="AB80" s="318">
        <v>3</v>
      </c>
      <c r="AC80" s="318">
        <f>SUM(AD80:AR80)</f>
        <v>2.95</v>
      </c>
      <c r="AD80" s="318">
        <v>0.7</v>
      </c>
      <c r="AE80" s="318"/>
      <c r="AF80" s="318"/>
      <c r="AG80" s="318">
        <f>0.5*(AB80+AE80)</f>
        <v>1.5</v>
      </c>
      <c r="AH80" s="318"/>
      <c r="AI80" s="318"/>
      <c r="AJ80" s="318"/>
      <c r="AK80" s="318">
        <f>0.25*(AB80+AE80)</f>
        <v>0.75</v>
      </c>
      <c r="AL80" s="318"/>
      <c r="AM80" s="318"/>
      <c r="AN80" s="318"/>
      <c r="AO80" s="318"/>
      <c r="AP80" s="318"/>
      <c r="AQ80" s="318"/>
      <c r="AR80" s="318"/>
      <c r="AS80" s="442">
        <f>(AB80+AE80)*22.5%</f>
        <v>0.675</v>
      </c>
      <c r="AT80" s="461">
        <f>AA80*1490000*12</f>
        <v>118455000</v>
      </c>
      <c r="AU80" s="4"/>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row>
    <row r="81" spans="1:75" ht="15.75">
      <c r="A81" s="272">
        <v>2</v>
      </c>
      <c r="B81" s="337" t="s">
        <v>121</v>
      </c>
      <c r="C81" s="416"/>
      <c r="D81" s="416"/>
      <c r="E81" s="274">
        <f>F81+G81+X81</f>
        <v>2.8665</v>
      </c>
      <c r="F81" s="275">
        <v>2.34</v>
      </c>
      <c r="G81" s="274">
        <f>H81+I81+J81+K81+L81+M81+N81+O81+P81+Q81+R81+S81+T81+U81+W81</f>
        <v>0</v>
      </c>
      <c r="H81" s="274"/>
      <c r="I81" s="274"/>
      <c r="J81" s="274"/>
      <c r="K81" s="274"/>
      <c r="L81" s="274"/>
      <c r="M81" s="274"/>
      <c r="N81" s="274"/>
      <c r="O81" s="289"/>
      <c r="P81" s="274"/>
      <c r="Q81" s="274"/>
      <c r="R81" s="274"/>
      <c r="S81" s="275"/>
      <c r="T81" s="274"/>
      <c r="U81" s="274"/>
      <c r="V81" s="274"/>
      <c r="W81" s="274"/>
      <c r="X81" s="274">
        <f>(F81+I81)*22.5%</f>
        <v>0.5265</v>
      </c>
      <c r="Y81" s="277">
        <f>E81*1490000*12</f>
        <v>51253020</v>
      </c>
      <c r="Z81" s="318"/>
      <c r="AA81" s="318">
        <f>AB81+AC81+AS81</f>
        <v>5.3215</v>
      </c>
      <c r="AB81" s="318">
        <v>2.34</v>
      </c>
      <c r="AC81" s="318">
        <f>SUM(AD81:AR81)</f>
        <v>2.455</v>
      </c>
      <c r="AD81" s="318">
        <v>0.7</v>
      </c>
      <c r="AE81" s="318"/>
      <c r="AF81" s="318"/>
      <c r="AG81" s="318">
        <f>0.5*(AB81+AE81)</f>
        <v>1.17</v>
      </c>
      <c r="AH81" s="318"/>
      <c r="AI81" s="318"/>
      <c r="AJ81" s="318"/>
      <c r="AK81" s="318">
        <f>0.25*(AB81+AE81)</f>
        <v>0.585</v>
      </c>
      <c r="AL81" s="318"/>
      <c r="AM81" s="318"/>
      <c r="AN81" s="318"/>
      <c r="AO81" s="318"/>
      <c r="AP81" s="318"/>
      <c r="AQ81" s="318"/>
      <c r="AR81" s="318"/>
      <c r="AS81" s="442">
        <f>(AB81+AE81)*22.5%</f>
        <v>0.5265</v>
      </c>
      <c r="AT81" s="461">
        <f>AA81*1490000*12</f>
        <v>95148420.00000001</v>
      </c>
      <c r="AU81" s="4"/>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row>
    <row r="82" spans="1:75" ht="15.75">
      <c r="A82" s="272">
        <v>3</v>
      </c>
      <c r="B82" s="337" t="s">
        <v>120</v>
      </c>
      <c r="C82" s="416"/>
      <c r="D82" s="416"/>
      <c r="E82" s="274">
        <f>F82+G82+X82</f>
        <v>6.625</v>
      </c>
      <c r="F82" s="275">
        <v>3</v>
      </c>
      <c r="G82" s="274">
        <f>H82+I82+J82+K82+L82+M82+N82+O82+P82+Q82+R82+S82+T82+U82+W82</f>
        <v>2.95</v>
      </c>
      <c r="H82" s="274">
        <v>0.7</v>
      </c>
      <c r="I82" s="274"/>
      <c r="J82" s="274"/>
      <c r="K82" s="274">
        <f>(F82+I82)*50%</f>
        <v>1.5</v>
      </c>
      <c r="L82" s="274"/>
      <c r="M82" s="274"/>
      <c r="N82" s="274"/>
      <c r="O82" s="289">
        <f>(F82+I82)*25%</f>
        <v>0.75</v>
      </c>
      <c r="P82" s="274"/>
      <c r="Q82" s="274"/>
      <c r="R82" s="274"/>
      <c r="S82" s="275"/>
      <c r="T82" s="274"/>
      <c r="U82" s="274"/>
      <c r="V82" s="274"/>
      <c r="W82" s="274"/>
      <c r="X82" s="274">
        <f>(F82+I82)*22.5%</f>
        <v>0.675</v>
      </c>
      <c r="Y82" s="277">
        <f>E82*1490000*12</f>
        <v>118455000</v>
      </c>
      <c r="Z82" s="318"/>
      <c r="AA82" s="338">
        <f>AB82+AS82</f>
        <v>2.8665</v>
      </c>
      <c r="AB82" s="318">
        <v>2.34</v>
      </c>
      <c r="AC82" s="318"/>
      <c r="AD82" s="318"/>
      <c r="AE82" s="318"/>
      <c r="AF82" s="318"/>
      <c r="AG82" s="318"/>
      <c r="AH82" s="318"/>
      <c r="AI82" s="318"/>
      <c r="AJ82" s="318"/>
      <c r="AK82" s="318"/>
      <c r="AL82" s="318"/>
      <c r="AM82" s="318"/>
      <c r="AN82" s="318"/>
      <c r="AO82" s="318"/>
      <c r="AP82" s="318"/>
      <c r="AQ82" s="318"/>
      <c r="AR82" s="318"/>
      <c r="AS82" s="442">
        <f>(AB82+AE82)*22.5%</f>
        <v>0.5265</v>
      </c>
      <c r="AT82" s="461">
        <f>AA82*1490000*12</f>
        <v>51253020</v>
      </c>
      <c r="AU82" s="4"/>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row>
    <row r="83" spans="1:75" ht="15.75">
      <c r="A83" s="272">
        <v>4</v>
      </c>
      <c r="B83" s="337" t="s">
        <v>119</v>
      </c>
      <c r="C83" s="416"/>
      <c r="D83" s="416"/>
      <c r="E83" s="274">
        <f>F83+G83+X83</f>
        <v>5.3215</v>
      </c>
      <c r="F83" s="275">
        <v>2.34</v>
      </c>
      <c r="G83" s="274">
        <f>H83+I83+J83+K83+L83+M83+N83+O83+P83+Q83+R83+S83+T83+U83+W83</f>
        <v>2.455</v>
      </c>
      <c r="H83" s="274">
        <v>0.7</v>
      </c>
      <c r="I83" s="274"/>
      <c r="J83" s="274"/>
      <c r="K83" s="274">
        <f>(F83+I83)*50%</f>
        <v>1.17</v>
      </c>
      <c r="L83" s="274"/>
      <c r="M83" s="274"/>
      <c r="N83" s="274"/>
      <c r="O83" s="289">
        <f>(F83+I83)*25%</f>
        <v>0.585</v>
      </c>
      <c r="P83" s="274"/>
      <c r="Q83" s="274"/>
      <c r="R83" s="274"/>
      <c r="S83" s="275"/>
      <c r="T83" s="274"/>
      <c r="U83" s="274"/>
      <c r="V83" s="274"/>
      <c r="W83" s="274"/>
      <c r="X83" s="274">
        <f>(F83+I83)*22.5%</f>
        <v>0.5265</v>
      </c>
      <c r="Y83" s="277">
        <f>E83*1490000*12</f>
        <v>95148420.00000001</v>
      </c>
      <c r="Z83" s="313"/>
      <c r="AA83" s="313">
        <f>SUM(AA84:AA86)</f>
        <v>15.8005</v>
      </c>
      <c r="AB83" s="313">
        <f aca="true" t="shared" si="68" ref="AB83:AT83">SUM(AB84:AB86)</f>
        <v>7.68</v>
      </c>
      <c r="AC83" s="313">
        <f t="shared" si="68"/>
        <v>6.28</v>
      </c>
      <c r="AD83" s="313">
        <f t="shared" si="68"/>
        <v>1.4</v>
      </c>
      <c r="AE83" s="313">
        <f t="shared" si="68"/>
        <v>0.5</v>
      </c>
      <c r="AF83" s="313">
        <f t="shared" si="68"/>
        <v>0</v>
      </c>
      <c r="AG83" s="313">
        <f t="shared" si="68"/>
        <v>2.92</v>
      </c>
      <c r="AH83" s="313">
        <f t="shared" si="68"/>
        <v>0</v>
      </c>
      <c r="AI83" s="313">
        <f t="shared" si="68"/>
        <v>0</v>
      </c>
      <c r="AJ83" s="313">
        <f t="shared" si="68"/>
        <v>0</v>
      </c>
      <c r="AK83" s="313">
        <f t="shared" si="68"/>
        <v>1.46</v>
      </c>
      <c r="AL83" s="313">
        <f t="shared" si="68"/>
        <v>0</v>
      </c>
      <c r="AM83" s="313">
        <f t="shared" si="68"/>
        <v>0</v>
      </c>
      <c r="AN83" s="313">
        <f t="shared" si="68"/>
        <v>0</v>
      </c>
      <c r="AO83" s="313">
        <f t="shared" si="68"/>
        <v>0</v>
      </c>
      <c r="AP83" s="313">
        <f t="shared" si="68"/>
        <v>0</v>
      </c>
      <c r="AQ83" s="313">
        <f t="shared" si="68"/>
        <v>0</v>
      </c>
      <c r="AR83" s="313">
        <f t="shared" si="68"/>
        <v>0</v>
      </c>
      <c r="AS83" s="436">
        <f t="shared" si="68"/>
        <v>1.8405</v>
      </c>
      <c r="AT83" s="339">
        <f t="shared" si="68"/>
        <v>168060080</v>
      </c>
      <c r="AU83" s="4"/>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row>
    <row r="84" spans="1:75" ht="15.75">
      <c r="A84" s="286" t="s">
        <v>118</v>
      </c>
      <c r="B84" s="266" t="s">
        <v>117</v>
      </c>
      <c r="C84" s="415">
        <v>2</v>
      </c>
      <c r="D84" s="415">
        <v>1</v>
      </c>
      <c r="E84" s="269">
        <f aca="true" t="shared" si="69" ref="E84:X84">SUM(E85:E86)</f>
        <v>9.23475</v>
      </c>
      <c r="F84" s="269">
        <f t="shared" si="69"/>
        <v>5.01</v>
      </c>
      <c r="G84" s="269">
        <f t="shared" si="69"/>
        <v>3.0525</v>
      </c>
      <c r="H84" s="269">
        <f t="shared" si="69"/>
        <v>0.7</v>
      </c>
      <c r="I84" s="269">
        <f t="shared" si="69"/>
        <v>0.2</v>
      </c>
      <c r="J84" s="269">
        <f t="shared" si="69"/>
        <v>0</v>
      </c>
      <c r="K84" s="269">
        <f t="shared" si="69"/>
        <v>1.435</v>
      </c>
      <c r="L84" s="269">
        <f t="shared" si="69"/>
        <v>0</v>
      </c>
      <c r="M84" s="269">
        <f t="shared" si="69"/>
        <v>0</v>
      </c>
      <c r="N84" s="269">
        <f t="shared" si="69"/>
        <v>0</v>
      </c>
      <c r="O84" s="269">
        <f t="shared" si="69"/>
        <v>0.7175</v>
      </c>
      <c r="P84" s="269">
        <f t="shared" si="69"/>
        <v>0</v>
      </c>
      <c r="Q84" s="269">
        <f t="shared" si="69"/>
        <v>0</v>
      </c>
      <c r="R84" s="269">
        <f t="shared" si="69"/>
        <v>0</v>
      </c>
      <c r="S84" s="269">
        <f t="shared" si="69"/>
        <v>0</v>
      </c>
      <c r="T84" s="269">
        <f t="shared" si="69"/>
        <v>0</v>
      </c>
      <c r="U84" s="269">
        <f t="shared" si="69"/>
        <v>0</v>
      </c>
      <c r="V84" s="269">
        <f t="shared" si="69"/>
        <v>0</v>
      </c>
      <c r="W84" s="269">
        <f t="shared" si="69"/>
        <v>0</v>
      </c>
      <c r="X84" s="269">
        <f t="shared" si="69"/>
        <v>1.17225</v>
      </c>
      <c r="Y84" s="269">
        <f>ROUNDUP(SUM(Y85:Y86),-3)</f>
        <v>165118000</v>
      </c>
      <c r="Z84" s="318"/>
      <c r="AA84" s="318">
        <f>AB84+AC84+AS84</f>
        <v>6.36825</v>
      </c>
      <c r="AB84" s="318">
        <v>2.67</v>
      </c>
      <c r="AC84" s="318">
        <f>SUM(AD84:AR84)</f>
        <v>3.0525</v>
      </c>
      <c r="AD84" s="318">
        <v>0.7</v>
      </c>
      <c r="AE84" s="318">
        <v>0.2</v>
      </c>
      <c r="AF84" s="318"/>
      <c r="AG84" s="318">
        <f>0.5*(AB84+AE84)</f>
        <v>1.435</v>
      </c>
      <c r="AH84" s="318"/>
      <c r="AI84" s="318"/>
      <c r="AJ84" s="318"/>
      <c r="AK84" s="318">
        <f>0.25*(AB84+AE84)</f>
        <v>0.7175</v>
      </c>
      <c r="AL84" s="318"/>
      <c r="AM84" s="318"/>
      <c r="AN84" s="318"/>
      <c r="AO84" s="318"/>
      <c r="AP84" s="318"/>
      <c r="AQ84" s="318"/>
      <c r="AR84" s="318"/>
      <c r="AS84" s="442">
        <f>(AB84+AE84)*22.5%</f>
        <v>0.64575</v>
      </c>
      <c r="AT84" s="460">
        <f>AA84*1490000*2</f>
        <v>18977385</v>
      </c>
      <c r="AU84" s="14"/>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row>
    <row r="85" spans="1:75" ht="15.75">
      <c r="A85" s="272"/>
      <c r="B85" s="337" t="s">
        <v>116</v>
      </c>
      <c r="C85" s="416"/>
      <c r="D85" s="416"/>
      <c r="E85" s="274">
        <f>F85+G85+X85</f>
        <v>6.36825</v>
      </c>
      <c r="F85" s="274">
        <v>2.67</v>
      </c>
      <c r="G85" s="274">
        <f>SUM(H85:W85)</f>
        <v>3.0525</v>
      </c>
      <c r="H85" s="274">
        <v>0.7</v>
      </c>
      <c r="I85" s="274">
        <v>0.2</v>
      </c>
      <c r="J85" s="274"/>
      <c r="K85" s="274">
        <f>(F85+I85)*50%</f>
        <v>1.435</v>
      </c>
      <c r="L85" s="274"/>
      <c r="M85" s="274"/>
      <c r="N85" s="274"/>
      <c r="O85" s="274">
        <f>(F85+I85)*25%</f>
        <v>0.7175</v>
      </c>
      <c r="P85" s="274"/>
      <c r="Q85" s="274"/>
      <c r="R85" s="274"/>
      <c r="S85" s="274"/>
      <c r="T85" s="274"/>
      <c r="U85" s="274"/>
      <c r="V85" s="274"/>
      <c r="W85" s="274"/>
      <c r="X85" s="274">
        <f>(F85+I85)*22.5%</f>
        <v>0.64575</v>
      </c>
      <c r="Y85" s="274">
        <f>E85*1490000*12</f>
        <v>113864310</v>
      </c>
      <c r="Z85" s="318"/>
      <c r="AA85" s="318">
        <f>AB85+AC85+AS85</f>
        <v>6.5657499999999995</v>
      </c>
      <c r="AB85" s="318">
        <v>2.67</v>
      </c>
      <c r="AC85" s="318">
        <f>SUM(AD85:AR85)</f>
        <v>3.2275</v>
      </c>
      <c r="AD85" s="318">
        <v>0.7</v>
      </c>
      <c r="AE85" s="318">
        <v>0.3</v>
      </c>
      <c r="AF85" s="318"/>
      <c r="AG85" s="318">
        <f>0.5*(AB85+AE85)</f>
        <v>1.4849999999999999</v>
      </c>
      <c r="AH85" s="318"/>
      <c r="AI85" s="318"/>
      <c r="AJ85" s="318"/>
      <c r="AK85" s="318">
        <f>0.25*(AB85+AE85)</f>
        <v>0.7424999999999999</v>
      </c>
      <c r="AL85" s="318"/>
      <c r="AM85" s="318"/>
      <c r="AN85" s="318"/>
      <c r="AO85" s="318"/>
      <c r="AP85" s="318"/>
      <c r="AQ85" s="318"/>
      <c r="AR85" s="318"/>
      <c r="AS85" s="442">
        <f>(AB85+AE85)*22.5%</f>
        <v>0.66825</v>
      </c>
      <c r="AT85" s="460">
        <f>AA85*1490000*10</f>
        <v>97829675</v>
      </c>
      <c r="AU85" s="4"/>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row>
    <row r="86" spans="1:75" ht="15.75">
      <c r="A86" s="286">
        <v>3</v>
      </c>
      <c r="B86" s="321" t="s">
        <v>72</v>
      </c>
      <c r="C86" s="416"/>
      <c r="D86" s="416"/>
      <c r="E86" s="289">
        <f>F86+G86+X86</f>
        <v>2.8665</v>
      </c>
      <c r="F86" s="275">
        <v>2.34</v>
      </c>
      <c r="G86" s="274">
        <f>SUM(H86:W86)</f>
        <v>0</v>
      </c>
      <c r="H86" s="274"/>
      <c r="I86" s="274"/>
      <c r="J86" s="274"/>
      <c r="K86" s="274"/>
      <c r="L86" s="274"/>
      <c r="M86" s="274"/>
      <c r="N86" s="274"/>
      <c r="O86" s="289"/>
      <c r="P86" s="274"/>
      <c r="Q86" s="274"/>
      <c r="R86" s="274"/>
      <c r="S86" s="275"/>
      <c r="T86" s="274"/>
      <c r="U86" s="274"/>
      <c r="V86" s="274"/>
      <c r="W86" s="289"/>
      <c r="X86" s="274">
        <f>(F86+I86)*0.225</f>
        <v>0.5265</v>
      </c>
      <c r="Y86" s="277">
        <f>E86*1490000*12</f>
        <v>51253020</v>
      </c>
      <c r="Z86" s="318"/>
      <c r="AA86" s="318">
        <f>AB86+AC86+AS86</f>
        <v>2.8665</v>
      </c>
      <c r="AB86" s="318">
        <v>2.34</v>
      </c>
      <c r="AC86" s="318"/>
      <c r="AD86" s="318"/>
      <c r="AE86" s="318"/>
      <c r="AF86" s="318"/>
      <c r="AG86" s="318"/>
      <c r="AH86" s="318"/>
      <c r="AI86" s="318"/>
      <c r="AJ86" s="318"/>
      <c r="AK86" s="318"/>
      <c r="AL86" s="318"/>
      <c r="AM86" s="318"/>
      <c r="AN86" s="318"/>
      <c r="AO86" s="318"/>
      <c r="AP86" s="318"/>
      <c r="AQ86" s="318"/>
      <c r="AR86" s="318"/>
      <c r="AS86" s="442">
        <f>(AB86+AE86)*22.5%</f>
        <v>0.5265</v>
      </c>
      <c r="AT86" s="460">
        <f>AA86*1490000*12</f>
        <v>51253020</v>
      </c>
      <c r="AU86" s="4"/>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row>
    <row r="87" spans="1:75" ht="15.75">
      <c r="A87" s="286" t="s">
        <v>115</v>
      </c>
      <c r="B87" s="287" t="s">
        <v>114</v>
      </c>
      <c r="C87" s="415">
        <f aca="true" t="shared" si="70" ref="C87:U87">C88+C124</f>
        <v>48</v>
      </c>
      <c r="D87" s="415">
        <f t="shared" si="70"/>
        <v>42</v>
      </c>
      <c r="E87" s="269">
        <f t="shared" si="70"/>
        <v>391.04049999999995</v>
      </c>
      <c r="F87" s="269">
        <f t="shared" si="70"/>
        <v>154.3</v>
      </c>
      <c r="G87" s="269">
        <f t="shared" si="70"/>
        <v>199.97699999999998</v>
      </c>
      <c r="H87" s="269">
        <f t="shared" si="70"/>
        <v>29.399999999999988</v>
      </c>
      <c r="I87" s="269">
        <f t="shared" si="70"/>
        <v>8.2</v>
      </c>
      <c r="J87" s="269">
        <f t="shared" si="70"/>
        <v>0</v>
      </c>
      <c r="K87" s="269">
        <f t="shared" si="70"/>
        <v>74.23</v>
      </c>
      <c r="L87" s="269">
        <f t="shared" si="70"/>
        <v>0</v>
      </c>
      <c r="M87" s="269">
        <f t="shared" si="70"/>
        <v>0.512</v>
      </c>
      <c r="N87" s="269">
        <f t="shared" si="70"/>
        <v>0</v>
      </c>
      <c r="O87" s="269">
        <f t="shared" si="70"/>
        <v>37.115</v>
      </c>
      <c r="P87" s="269">
        <f t="shared" si="70"/>
        <v>0</v>
      </c>
      <c r="Q87" s="269">
        <f t="shared" si="70"/>
        <v>0</v>
      </c>
      <c r="R87" s="269">
        <f t="shared" si="70"/>
        <v>0</v>
      </c>
      <c r="S87" s="269">
        <f t="shared" si="70"/>
        <v>0</v>
      </c>
      <c r="T87" s="269">
        <f t="shared" si="70"/>
        <v>44.53799999999998</v>
      </c>
      <c r="U87" s="269">
        <f t="shared" si="70"/>
        <v>0.45</v>
      </c>
      <c r="V87" s="269"/>
      <c r="W87" s="269">
        <f>W88+W124</f>
        <v>4.5</v>
      </c>
      <c r="X87" s="269">
        <f>X88+X124</f>
        <v>36.76350000000001</v>
      </c>
      <c r="Y87" s="270">
        <f>Y88+Y124</f>
        <v>6991804204</v>
      </c>
      <c r="Z87" s="313"/>
      <c r="AA87" s="313">
        <f>SUM(AA88:AA92)</f>
        <v>39.859750000000005</v>
      </c>
      <c r="AB87" s="313">
        <f aca="true" t="shared" si="71" ref="AB87:AT87">SUM(AB88:AB92)</f>
        <v>17.71</v>
      </c>
      <c r="AC87" s="313">
        <f t="shared" si="71"/>
        <v>18.0075</v>
      </c>
      <c r="AD87" s="313">
        <f t="shared" si="71"/>
        <v>3.5</v>
      </c>
      <c r="AE87" s="313">
        <f t="shared" si="71"/>
        <v>0.7</v>
      </c>
      <c r="AF87" s="313">
        <f t="shared" si="71"/>
        <v>0</v>
      </c>
      <c r="AG87" s="313">
        <f t="shared" si="71"/>
        <v>9.205000000000002</v>
      </c>
      <c r="AH87" s="313">
        <f t="shared" si="71"/>
        <v>0</v>
      </c>
      <c r="AI87" s="313">
        <f t="shared" si="71"/>
        <v>0</v>
      </c>
      <c r="AJ87" s="313">
        <f t="shared" si="71"/>
        <v>0</v>
      </c>
      <c r="AK87" s="313">
        <f t="shared" si="71"/>
        <v>4.602500000000001</v>
      </c>
      <c r="AL87" s="313">
        <f t="shared" si="71"/>
        <v>0</v>
      </c>
      <c r="AM87" s="313">
        <f t="shared" si="71"/>
        <v>0</v>
      </c>
      <c r="AN87" s="313">
        <f t="shared" si="71"/>
        <v>0</v>
      </c>
      <c r="AO87" s="313">
        <f t="shared" si="71"/>
        <v>0</v>
      </c>
      <c r="AP87" s="313">
        <f t="shared" si="71"/>
        <v>0</v>
      </c>
      <c r="AQ87" s="313">
        <f t="shared" si="71"/>
        <v>0</v>
      </c>
      <c r="AR87" s="313">
        <f t="shared" si="71"/>
        <v>0</v>
      </c>
      <c r="AS87" s="436">
        <f t="shared" si="71"/>
        <v>4.142250000000001</v>
      </c>
      <c r="AT87" s="339">
        <f t="shared" si="71"/>
        <v>712692330</v>
      </c>
      <c r="AU87" s="14"/>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row>
    <row r="88" spans="1:75" ht="15.75">
      <c r="A88" s="286" t="s">
        <v>113</v>
      </c>
      <c r="B88" s="287" t="s">
        <v>112</v>
      </c>
      <c r="C88" s="415">
        <v>36</v>
      </c>
      <c r="D88" s="415">
        <v>31</v>
      </c>
      <c r="E88" s="288">
        <f aca="true" t="shared" si="72" ref="E88:Y88">+E89+E121</f>
        <v>287.59719999999993</v>
      </c>
      <c r="F88" s="288">
        <f t="shared" si="72"/>
        <v>115.39000000000001</v>
      </c>
      <c r="G88" s="288">
        <f t="shared" si="72"/>
        <v>144.85799999999998</v>
      </c>
      <c r="H88" s="288">
        <f t="shared" si="72"/>
        <v>20.99999999999999</v>
      </c>
      <c r="I88" s="288">
        <f t="shared" si="72"/>
        <v>5.65</v>
      </c>
      <c r="J88" s="288">
        <f t="shared" si="72"/>
        <v>0</v>
      </c>
      <c r="K88" s="288">
        <f t="shared" si="72"/>
        <v>53.50000000000001</v>
      </c>
      <c r="L88" s="288">
        <f t="shared" si="72"/>
        <v>0</v>
      </c>
      <c r="M88" s="288">
        <f t="shared" si="72"/>
        <v>0.512</v>
      </c>
      <c r="N88" s="288">
        <f t="shared" si="72"/>
        <v>0</v>
      </c>
      <c r="O88" s="288">
        <f t="shared" si="72"/>
        <v>26.750000000000004</v>
      </c>
      <c r="P88" s="288">
        <f t="shared" si="72"/>
        <v>0</v>
      </c>
      <c r="Q88" s="288">
        <f t="shared" si="72"/>
        <v>0</v>
      </c>
      <c r="R88" s="288">
        <f t="shared" si="72"/>
        <v>0</v>
      </c>
      <c r="S88" s="288">
        <f t="shared" si="72"/>
        <v>0</v>
      </c>
      <c r="T88" s="288">
        <f t="shared" si="72"/>
        <v>32.09999999999999</v>
      </c>
      <c r="U88" s="288">
        <f t="shared" si="72"/>
        <v>0.45</v>
      </c>
      <c r="V88" s="288">
        <f t="shared" si="72"/>
        <v>0.396</v>
      </c>
      <c r="W88" s="288">
        <f t="shared" si="72"/>
        <v>4.5</v>
      </c>
      <c r="X88" s="288">
        <f t="shared" si="72"/>
        <v>27.349200000000007</v>
      </c>
      <c r="Y88" s="288">
        <f t="shared" si="72"/>
        <v>5142238000</v>
      </c>
      <c r="Z88" s="339"/>
      <c r="AA88" s="340">
        <f>AB88+AC88+AS88</f>
        <v>8.521</v>
      </c>
      <c r="AB88" s="341">
        <f>3.66</f>
        <v>3.66</v>
      </c>
      <c r="AC88" s="340">
        <f>SUM(AD88:AQ88)</f>
        <v>3.9699999999999998</v>
      </c>
      <c r="AD88" s="341">
        <v>0.7</v>
      </c>
      <c r="AE88" s="341">
        <v>0.3</v>
      </c>
      <c r="AF88" s="339"/>
      <c r="AG88" s="342">
        <f>(AB88+AE88)*0.5</f>
        <v>1.98</v>
      </c>
      <c r="AH88" s="339"/>
      <c r="AI88" s="339"/>
      <c r="AJ88" s="339"/>
      <c r="AK88" s="343">
        <f>0.25*(AB88+AE88)</f>
        <v>0.99</v>
      </c>
      <c r="AL88" s="339"/>
      <c r="AM88" s="339"/>
      <c r="AN88" s="339"/>
      <c r="AO88" s="339"/>
      <c r="AP88" s="339"/>
      <c r="AQ88" s="339"/>
      <c r="AR88" s="339"/>
      <c r="AS88" s="443">
        <f>(AB88+AE88)*22.5%</f>
        <v>0.891</v>
      </c>
      <c r="AT88" s="344">
        <f>AA88*12*1490000</f>
        <v>152355480</v>
      </c>
      <c r="AU88" s="14"/>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row>
    <row r="89" spans="1:75" ht="15.75">
      <c r="A89" s="286" t="s">
        <v>88</v>
      </c>
      <c r="B89" s="287" t="s">
        <v>75</v>
      </c>
      <c r="C89" s="415"/>
      <c r="D89" s="415"/>
      <c r="E89" s="345">
        <f aca="true" t="shared" si="73" ref="E89:X89">SUM(E90:E120)</f>
        <v>287.59719999999993</v>
      </c>
      <c r="F89" s="288">
        <f t="shared" si="73"/>
        <v>115.39000000000001</v>
      </c>
      <c r="G89" s="288">
        <f t="shared" si="73"/>
        <v>144.85799999999998</v>
      </c>
      <c r="H89" s="288">
        <f t="shared" si="73"/>
        <v>20.99999999999999</v>
      </c>
      <c r="I89" s="288">
        <f t="shared" si="73"/>
        <v>5.65</v>
      </c>
      <c r="J89" s="288">
        <f t="shared" si="73"/>
        <v>0</v>
      </c>
      <c r="K89" s="288">
        <f t="shared" si="73"/>
        <v>53.50000000000001</v>
      </c>
      <c r="L89" s="288">
        <f t="shared" si="73"/>
        <v>0</v>
      </c>
      <c r="M89" s="288">
        <f t="shared" si="73"/>
        <v>0.512</v>
      </c>
      <c r="N89" s="288">
        <f t="shared" si="73"/>
        <v>0</v>
      </c>
      <c r="O89" s="288">
        <f t="shared" si="73"/>
        <v>26.750000000000004</v>
      </c>
      <c r="P89" s="288">
        <f t="shared" si="73"/>
        <v>0</v>
      </c>
      <c r="Q89" s="288">
        <f t="shared" si="73"/>
        <v>0</v>
      </c>
      <c r="R89" s="288">
        <f t="shared" si="73"/>
        <v>0</v>
      </c>
      <c r="S89" s="288">
        <f t="shared" si="73"/>
        <v>0</v>
      </c>
      <c r="T89" s="288">
        <f t="shared" si="73"/>
        <v>32.09999999999999</v>
      </c>
      <c r="U89" s="288">
        <f t="shared" si="73"/>
        <v>0.45</v>
      </c>
      <c r="V89" s="288">
        <f t="shared" si="73"/>
        <v>0.396</v>
      </c>
      <c r="W89" s="288">
        <f t="shared" si="73"/>
        <v>4.5</v>
      </c>
      <c r="X89" s="288">
        <f t="shared" si="73"/>
        <v>27.349200000000007</v>
      </c>
      <c r="Y89" s="288">
        <f>ROUNDUP(SUM(Y90:Y120),-3)</f>
        <v>5142238000</v>
      </c>
      <c r="Z89" s="339"/>
      <c r="AA89" s="340">
        <f>AB89+AC89+AS89</f>
        <v>8.97525</v>
      </c>
      <c r="AB89" s="341">
        <f>3.99</f>
        <v>3.99</v>
      </c>
      <c r="AC89" s="340">
        <f>SUM(AD89:AQ89)</f>
        <v>4.0425</v>
      </c>
      <c r="AD89" s="341">
        <v>0.7</v>
      </c>
      <c r="AE89" s="341">
        <v>0.2</v>
      </c>
      <c r="AF89" s="339"/>
      <c r="AG89" s="342">
        <f>(AB89+AE89)*0.5</f>
        <v>2.095</v>
      </c>
      <c r="AH89" s="339"/>
      <c r="AI89" s="339"/>
      <c r="AJ89" s="339"/>
      <c r="AK89" s="343">
        <f>0.25*(AB89+AE89)</f>
        <v>1.0475</v>
      </c>
      <c r="AL89" s="339"/>
      <c r="AM89" s="339"/>
      <c r="AN89" s="339"/>
      <c r="AO89" s="339"/>
      <c r="AP89" s="339"/>
      <c r="AQ89" s="339"/>
      <c r="AR89" s="339"/>
      <c r="AS89" s="443">
        <f>(AB89+AE89)*22.5%</f>
        <v>0.9427500000000001</v>
      </c>
      <c r="AT89" s="344">
        <f>AA89*12*1490000</f>
        <v>160477470</v>
      </c>
      <c r="AU89" s="14"/>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row>
    <row r="90" spans="1:75" ht="15.75">
      <c r="A90" s="346">
        <v>1</v>
      </c>
      <c r="B90" s="7" t="s">
        <v>111</v>
      </c>
      <c r="C90" s="417"/>
      <c r="D90" s="417"/>
      <c r="E90" s="347">
        <f>F90+G90+X90</f>
        <v>13.4535</v>
      </c>
      <c r="F90" s="348">
        <v>4.74</v>
      </c>
      <c r="G90" s="347">
        <f>SUM(H90:W90)</f>
        <v>7.467</v>
      </c>
      <c r="H90" s="347">
        <v>0.7</v>
      </c>
      <c r="I90" s="349">
        <v>0.8</v>
      </c>
      <c r="J90" s="347"/>
      <c r="K90" s="347">
        <f aca="true" t="shared" si="74" ref="K90:K117">(F90+I90+J90)*50%</f>
        <v>2.77</v>
      </c>
      <c r="L90" s="347"/>
      <c r="M90" s="347"/>
      <c r="N90" s="347"/>
      <c r="O90" s="350">
        <f aca="true" t="shared" si="75" ref="O90:O117">(F90+I90+J90)*25%</f>
        <v>1.385</v>
      </c>
      <c r="P90" s="347"/>
      <c r="Q90" s="347"/>
      <c r="R90" s="347"/>
      <c r="S90" s="351"/>
      <c r="T90" s="347">
        <f aca="true" t="shared" si="76" ref="T90:T119">(F90+I90+J90)*30%</f>
        <v>1.662</v>
      </c>
      <c r="U90" s="347"/>
      <c r="V90" s="347"/>
      <c r="W90" s="347">
        <v>0.15</v>
      </c>
      <c r="X90" s="347">
        <f>(F90+I90+J90)*22.5%</f>
        <v>1.2465</v>
      </c>
      <c r="Y90" s="352">
        <f>E90*1490000*12</f>
        <v>240548580</v>
      </c>
      <c r="Z90" s="339"/>
      <c r="AA90" s="340">
        <f>AB90+AC90+AS90</f>
        <v>9.626999999999999</v>
      </c>
      <c r="AB90" s="341">
        <f>4.32</f>
        <v>4.32</v>
      </c>
      <c r="AC90" s="340">
        <f>SUM(AD90:AQ90)</f>
        <v>4.29</v>
      </c>
      <c r="AD90" s="341">
        <v>0.7</v>
      </c>
      <c r="AE90" s="341">
        <v>0.2</v>
      </c>
      <c r="AF90" s="339"/>
      <c r="AG90" s="342">
        <f>(AB90+AE90)*0.5</f>
        <v>2.2600000000000002</v>
      </c>
      <c r="AH90" s="339"/>
      <c r="AI90" s="339"/>
      <c r="AJ90" s="339"/>
      <c r="AK90" s="343">
        <f>0.25*(AB90+AE90)</f>
        <v>1.1300000000000001</v>
      </c>
      <c r="AL90" s="339"/>
      <c r="AM90" s="339"/>
      <c r="AN90" s="339"/>
      <c r="AO90" s="339"/>
      <c r="AP90" s="339"/>
      <c r="AQ90" s="339"/>
      <c r="AR90" s="339"/>
      <c r="AS90" s="443">
        <f>(AB90+AE90)*22.5%</f>
        <v>1.0170000000000001</v>
      </c>
      <c r="AT90" s="344">
        <f>AA90*12*1490000</f>
        <v>172130759.99999997</v>
      </c>
      <c r="AU90" s="15"/>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row>
    <row r="91" spans="1:75" ht="15.75">
      <c r="A91" s="346">
        <v>2</v>
      </c>
      <c r="B91" s="7" t="s">
        <v>36</v>
      </c>
      <c r="C91" s="417"/>
      <c r="D91" s="417"/>
      <c r="E91" s="347">
        <f aca="true" t="shared" si="77" ref="E91:E120">F91+G91+X91</f>
        <v>10.018250000000002</v>
      </c>
      <c r="F91" s="348">
        <v>3.33</v>
      </c>
      <c r="G91" s="347">
        <f aca="true" t="shared" si="78" ref="G91:G120">SUM(H91:W91)</f>
        <v>5.781500000000001</v>
      </c>
      <c r="H91" s="347">
        <v>0.7</v>
      </c>
      <c r="I91" s="349">
        <v>0.7</v>
      </c>
      <c r="J91" s="347"/>
      <c r="K91" s="347">
        <f t="shared" si="74"/>
        <v>2.015</v>
      </c>
      <c r="L91" s="347"/>
      <c r="M91" s="347"/>
      <c r="N91" s="347"/>
      <c r="O91" s="350">
        <f t="shared" si="75"/>
        <v>1.0075</v>
      </c>
      <c r="P91" s="347"/>
      <c r="Q91" s="347"/>
      <c r="R91" s="347"/>
      <c r="S91" s="351"/>
      <c r="T91" s="347">
        <f t="shared" si="76"/>
        <v>1.209</v>
      </c>
      <c r="U91" s="347"/>
      <c r="V91" s="347"/>
      <c r="W91" s="347">
        <v>0.15</v>
      </c>
      <c r="X91" s="347">
        <f>(F91+I91+J91)*22.5%</f>
        <v>0.9067500000000001</v>
      </c>
      <c r="Y91" s="352">
        <f aca="true" t="shared" si="79" ref="Y91:Y120">E91*1490000*12</f>
        <v>179126310.00000006</v>
      </c>
      <c r="Z91" s="340"/>
      <c r="AA91" s="340">
        <f>AB91+AC91+AS91</f>
        <v>5.4597500000000005</v>
      </c>
      <c r="AB91" s="341">
        <v>2.41</v>
      </c>
      <c r="AC91" s="340">
        <f>SUM(AD91:AQ91)</f>
        <v>2.5075000000000003</v>
      </c>
      <c r="AD91" s="341">
        <v>0.7</v>
      </c>
      <c r="AE91" s="340"/>
      <c r="AF91" s="340"/>
      <c r="AG91" s="342">
        <f>(AB91+AE91)*0.5</f>
        <v>1.205</v>
      </c>
      <c r="AH91" s="340"/>
      <c r="AI91" s="340"/>
      <c r="AJ91" s="340"/>
      <c r="AK91" s="343">
        <f>0.25*(AB91+AE91)</f>
        <v>0.6025</v>
      </c>
      <c r="AL91" s="340"/>
      <c r="AM91" s="340"/>
      <c r="AN91" s="340"/>
      <c r="AO91" s="340"/>
      <c r="AP91" s="340"/>
      <c r="AQ91" s="340"/>
      <c r="AR91" s="340"/>
      <c r="AS91" s="443">
        <f>(AB91+AE91)*22.5%</f>
        <v>0.54225</v>
      </c>
      <c r="AT91" s="344">
        <f>AA91*12*1490000</f>
        <v>97620330.00000001</v>
      </c>
      <c r="AU91" s="15"/>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row>
    <row r="92" spans="1:75" ht="15.75">
      <c r="A92" s="346">
        <v>3</v>
      </c>
      <c r="B92" s="7" t="s">
        <v>39</v>
      </c>
      <c r="C92" s="417"/>
      <c r="D92" s="417"/>
      <c r="E92" s="347">
        <f t="shared" si="77"/>
        <v>15.9462</v>
      </c>
      <c r="F92" s="348">
        <v>5.76</v>
      </c>
      <c r="G92" s="347">
        <f t="shared" si="78"/>
        <v>8.639999999999999</v>
      </c>
      <c r="H92" s="347">
        <v>0.7</v>
      </c>
      <c r="I92" s="349">
        <v>0.6</v>
      </c>
      <c r="J92" s="347"/>
      <c r="K92" s="347">
        <f t="shared" si="74"/>
        <v>3.1799999999999997</v>
      </c>
      <c r="L92" s="347"/>
      <c r="M92" s="347">
        <v>0.512</v>
      </c>
      <c r="N92" s="347"/>
      <c r="O92" s="350">
        <f>(F92+I92+J92)*25%</f>
        <v>1.5899999999999999</v>
      </c>
      <c r="P92" s="347"/>
      <c r="Q92" s="347"/>
      <c r="R92" s="347"/>
      <c r="S92" s="351"/>
      <c r="T92" s="347">
        <f t="shared" si="76"/>
        <v>1.9079999999999997</v>
      </c>
      <c r="U92" s="347"/>
      <c r="V92" s="347"/>
      <c r="W92" s="347">
        <v>0.15</v>
      </c>
      <c r="X92" s="347">
        <f>(F92+I92+J92+M92)*22.5%</f>
        <v>1.5462</v>
      </c>
      <c r="Y92" s="352">
        <f t="shared" si="79"/>
        <v>285118056</v>
      </c>
      <c r="Z92" s="353"/>
      <c r="AA92" s="340">
        <f>AB92+AC92+AS92</f>
        <v>7.27675</v>
      </c>
      <c r="AB92" s="341">
        <v>3.33</v>
      </c>
      <c r="AC92" s="340">
        <f>SUM(AD92:AQ92)</f>
        <v>3.1975000000000002</v>
      </c>
      <c r="AD92" s="341">
        <v>0.7</v>
      </c>
      <c r="AE92" s="353"/>
      <c r="AF92" s="353"/>
      <c r="AG92" s="342">
        <f>(AB92+AE92)*0.5</f>
        <v>1.665</v>
      </c>
      <c r="AH92" s="353"/>
      <c r="AI92" s="353"/>
      <c r="AJ92" s="353"/>
      <c r="AK92" s="343">
        <f>0.25*(AB92+AE92)</f>
        <v>0.8325</v>
      </c>
      <c r="AL92" s="353"/>
      <c r="AM92" s="353"/>
      <c r="AN92" s="353"/>
      <c r="AO92" s="353"/>
      <c r="AP92" s="353"/>
      <c r="AQ92" s="353"/>
      <c r="AR92" s="353"/>
      <c r="AS92" s="443">
        <f>(AB92+AE92)*22.5%</f>
        <v>0.7492500000000001</v>
      </c>
      <c r="AT92" s="344">
        <f>AA92*12*1490000</f>
        <v>130108290</v>
      </c>
      <c r="AU92" s="15"/>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row>
    <row r="93" spans="1:75" ht="15.75">
      <c r="A93" s="346">
        <v>4</v>
      </c>
      <c r="B93" s="7" t="s">
        <v>110</v>
      </c>
      <c r="C93" s="417"/>
      <c r="D93" s="417"/>
      <c r="E93" s="347">
        <f t="shared" si="77"/>
        <v>10.255</v>
      </c>
      <c r="F93" s="348">
        <v>3.66</v>
      </c>
      <c r="G93" s="347">
        <f t="shared" si="78"/>
        <v>5.704</v>
      </c>
      <c r="H93" s="347">
        <v>0.7</v>
      </c>
      <c r="I93" s="349">
        <v>0.3</v>
      </c>
      <c r="J93" s="347"/>
      <c r="K93" s="347">
        <f t="shared" si="74"/>
        <v>1.98</v>
      </c>
      <c r="L93" s="347"/>
      <c r="M93" s="347"/>
      <c r="N93" s="347"/>
      <c r="O93" s="350">
        <f t="shared" si="75"/>
        <v>0.99</v>
      </c>
      <c r="P93" s="347"/>
      <c r="Q93" s="347"/>
      <c r="R93" s="347"/>
      <c r="S93" s="351"/>
      <c r="T93" s="347">
        <f t="shared" si="76"/>
        <v>1.188</v>
      </c>
      <c r="U93" s="347"/>
      <c r="V93" s="347">
        <f>(F93+I93+J93)*10%</f>
        <v>0.396</v>
      </c>
      <c r="W93" s="347">
        <v>0.15</v>
      </c>
      <c r="X93" s="347">
        <f>(F93+I93+J93)*22.5%</f>
        <v>0.891</v>
      </c>
      <c r="Y93" s="352">
        <f t="shared" si="79"/>
        <v>183359400.00000003</v>
      </c>
      <c r="Z93" s="313"/>
      <c r="AA93" s="313">
        <f>AA94+AA130+AA136+AA139+AA143+AA145</f>
        <v>414.48494999999997</v>
      </c>
      <c r="AB93" s="313">
        <f aca="true" t="shared" si="80" ref="AB93:AT93">AB94+AB130+AB136+AB139+AB143+AB145</f>
        <v>167.75000000000003</v>
      </c>
      <c r="AC93" s="313">
        <f t="shared" si="80"/>
        <v>206.96349999999995</v>
      </c>
      <c r="AD93" s="313">
        <f t="shared" si="80"/>
        <v>30.099999999999987</v>
      </c>
      <c r="AE93" s="313">
        <f t="shared" si="80"/>
        <v>8.5</v>
      </c>
      <c r="AF93" s="313">
        <f t="shared" si="80"/>
        <v>0</v>
      </c>
      <c r="AG93" s="313">
        <f t="shared" si="80"/>
        <v>76.42500000000001</v>
      </c>
      <c r="AH93" s="313">
        <f t="shared" si="80"/>
        <v>0</v>
      </c>
      <c r="AI93" s="313">
        <f t="shared" si="80"/>
        <v>0.512</v>
      </c>
      <c r="AJ93" s="313">
        <f t="shared" si="80"/>
        <v>0</v>
      </c>
      <c r="AK93" s="313">
        <f t="shared" si="80"/>
        <v>38.212500000000006</v>
      </c>
      <c r="AL93" s="313">
        <f t="shared" si="80"/>
        <v>0</v>
      </c>
      <c r="AM93" s="313">
        <f t="shared" si="80"/>
        <v>0</v>
      </c>
      <c r="AN93" s="313">
        <f t="shared" si="80"/>
        <v>0</v>
      </c>
      <c r="AO93" s="313">
        <f t="shared" si="80"/>
        <v>0</v>
      </c>
      <c r="AP93" s="313">
        <f t="shared" si="80"/>
        <v>45.85499999999999</v>
      </c>
      <c r="AQ93" s="313">
        <f t="shared" si="80"/>
        <v>1.7990000000000004</v>
      </c>
      <c r="AR93" s="313">
        <f t="shared" si="80"/>
        <v>5.5600000000000005</v>
      </c>
      <c r="AS93" s="436">
        <f t="shared" si="80"/>
        <v>39.77145000000001</v>
      </c>
      <c r="AT93" s="339">
        <f t="shared" si="80"/>
        <v>6684386073.5</v>
      </c>
      <c r="AU93" s="15"/>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row>
    <row r="94" spans="1:75" ht="15.75">
      <c r="A94" s="346">
        <v>5</v>
      </c>
      <c r="B94" s="7" t="s">
        <v>19</v>
      </c>
      <c r="C94" s="417"/>
      <c r="D94" s="417"/>
      <c r="E94" s="347">
        <f t="shared" si="77"/>
        <v>11.5425</v>
      </c>
      <c r="F94" s="348">
        <v>4.4</v>
      </c>
      <c r="G94" s="347">
        <f t="shared" si="78"/>
        <v>6.085000000000001</v>
      </c>
      <c r="H94" s="347">
        <v>0.7</v>
      </c>
      <c r="I94" s="349">
        <v>0.3</v>
      </c>
      <c r="J94" s="347"/>
      <c r="K94" s="347">
        <f t="shared" si="74"/>
        <v>2.35</v>
      </c>
      <c r="L94" s="347"/>
      <c r="M94" s="347"/>
      <c r="N94" s="347"/>
      <c r="O94" s="350">
        <f t="shared" si="75"/>
        <v>1.175</v>
      </c>
      <c r="P94" s="347"/>
      <c r="Q94" s="347"/>
      <c r="R94" s="347"/>
      <c r="S94" s="351"/>
      <c r="T94" s="347">
        <f t="shared" si="76"/>
        <v>1.41</v>
      </c>
      <c r="U94" s="347"/>
      <c r="V94" s="347"/>
      <c r="W94" s="347">
        <v>0.15</v>
      </c>
      <c r="X94" s="347">
        <f aca="true" t="shared" si="81" ref="X94:X117">(F94+I94+J94)*22.5%</f>
        <v>1.0575</v>
      </c>
      <c r="Y94" s="352">
        <f t="shared" si="79"/>
        <v>206379900</v>
      </c>
      <c r="Z94" s="313"/>
      <c r="AA94" s="313">
        <f>AA95</f>
        <v>297.82019999999994</v>
      </c>
      <c r="AB94" s="313">
        <f aca="true" t="shared" si="82" ref="AB94:AT94">AB95</f>
        <v>120.59000000000003</v>
      </c>
      <c r="AC94" s="313">
        <f t="shared" si="82"/>
        <v>148.71099999999998</v>
      </c>
      <c r="AD94" s="313">
        <f t="shared" si="82"/>
        <v>21.69999999999999</v>
      </c>
      <c r="AE94" s="313">
        <f t="shared" si="82"/>
        <v>5.65</v>
      </c>
      <c r="AF94" s="313">
        <f t="shared" si="82"/>
        <v>0</v>
      </c>
      <c r="AG94" s="313">
        <f t="shared" si="82"/>
        <v>54.93000000000001</v>
      </c>
      <c r="AH94" s="313">
        <f t="shared" si="82"/>
        <v>0</v>
      </c>
      <c r="AI94" s="313">
        <f t="shared" si="82"/>
        <v>0.512</v>
      </c>
      <c r="AJ94" s="313">
        <f t="shared" si="82"/>
        <v>0</v>
      </c>
      <c r="AK94" s="313">
        <f t="shared" si="82"/>
        <v>27.465000000000003</v>
      </c>
      <c r="AL94" s="313">
        <f t="shared" si="82"/>
        <v>0</v>
      </c>
      <c r="AM94" s="313">
        <f t="shared" si="82"/>
        <v>0</v>
      </c>
      <c r="AN94" s="313">
        <f t="shared" si="82"/>
        <v>0</v>
      </c>
      <c r="AO94" s="313">
        <f t="shared" si="82"/>
        <v>0</v>
      </c>
      <c r="AP94" s="313">
        <f t="shared" si="82"/>
        <v>32.957999999999984</v>
      </c>
      <c r="AQ94" s="313">
        <f t="shared" si="82"/>
        <v>0.396</v>
      </c>
      <c r="AR94" s="313">
        <f t="shared" si="82"/>
        <v>5.1000000000000005</v>
      </c>
      <c r="AS94" s="436">
        <f t="shared" si="82"/>
        <v>28.51920000000001</v>
      </c>
      <c r="AT94" s="339">
        <f t="shared" si="82"/>
        <v>5009025976</v>
      </c>
      <c r="AU94" s="15"/>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row>
    <row r="95" spans="1:75" ht="15.75">
      <c r="A95" s="346">
        <v>6</v>
      </c>
      <c r="B95" s="7" t="s">
        <v>109</v>
      </c>
      <c r="C95" s="417"/>
      <c r="D95" s="417"/>
      <c r="E95" s="347">
        <f t="shared" si="77"/>
        <v>5.6274999999999995</v>
      </c>
      <c r="F95" s="348">
        <v>2.1</v>
      </c>
      <c r="G95" s="347">
        <f t="shared" si="78"/>
        <v>3.0549999999999997</v>
      </c>
      <c r="H95" s="347">
        <v>0.7</v>
      </c>
      <c r="I95" s="349"/>
      <c r="J95" s="347"/>
      <c r="K95" s="347">
        <f t="shared" si="74"/>
        <v>1.05</v>
      </c>
      <c r="L95" s="347"/>
      <c r="M95" s="347"/>
      <c r="N95" s="347"/>
      <c r="O95" s="350">
        <f t="shared" si="75"/>
        <v>0.525</v>
      </c>
      <c r="P95" s="347"/>
      <c r="Q95" s="347"/>
      <c r="R95" s="347"/>
      <c r="S95" s="351"/>
      <c r="T95" s="347">
        <f t="shared" si="76"/>
        <v>0.63</v>
      </c>
      <c r="U95" s="347"/>
      <c r="V95" s="347"/>
      <c r="W95" s="347">
        <v>0.15</v>
      </c>
      <c r="X95" s="347">
        <f t="shared" si="81"/>
        <v>0.47250000000000003</v>
      </c>
      <c r="Y95" s="352">
        <f t="shared" si="79"/>
        <v>100619699.99999999</v>
      </c>
      <c r="Z95" s="354"/>
      <c r="AA95" s="313">
        <f>SUM(AA96:AA129,)</f>
        <v>297.82019999999994</v>
      </c>
      <c r="AB95" s="313">
        <f aca="true" t="shared" si="83" ref="AB95:AS95">SUM(AB96:AB129,)</f>
        <v>120.59000000000003</v>
      </c>
      <c r="AC95" s="313">
        <f t="shared" si="83"/>
        <v>148.71099999999998</v>
      </c>
      <c r="AD95" s="313">
        <f t="shared" si="83"/>
        <v>21.69999999999999</v>
      </c>
      <c r="AE95" s="313">
        <f t="shared" si="83"/>
        <v>5.65</v>
      </c>
      <c r="AF95" s="313">
        <f t="shared" si="83"/>
        <v>0</v>
      </c>
      <c r="AG95" s="313">
        <f t="shared" si="83"/>
        <v>54.93000000000001</v>
      </c>
      <c r="AH95" s="313">
        <f t="shared" si="83"/>
        <v>0</v>
      </c>
      <c r="AI95" s="313">
        <f t="shared" si="83"/>
        <v>0.512</v>
      </c>
      <c r="AJ95" s="313">
        <f t="shared" si="83"/>
        <v>0</v>
      </c>
      <c r="AK95" s="313">
        <f t="shared" si="83"/>
        <v>27.465000000000003</v>
      </c>
      <c r="AL95" s="313">
        <f t="shared" si="83"/>
        <v>0</v>
      </c>
      <c r="AM95" s="313">
        <f t="shared" si="83"/>
        <v>0</v>
      </c>
      <c r="AN95" s="313">
        <f t="shared" si="83"/>
        <v>0</v>
      </c>
      <c r="AO95" s="313">
        <f t="shared" si="83"/>
        <v>0</v>
      </c>
      <c r="AP95" s="313">
        <f t="shared" si="83"/>
        <v>32.957999999999984</v>
      </c>
      <c r="AQ95" s="313">
        <f t="shared" si="83"/>
        <v>0.396</v>
      </c>
      <c r="AR95" s="313">
        <f t="shared" si="83"/>
        <v>5.1000000000000005</v>
      </c>
      <c r="AS95" s="436">
        <f t="shared" si="83"/>
        <v>28.51920000000001</v>
      </c>
      <c r="AT95" s="339">
        <f>SUM(AT96:AT129,)</f>
        <v>5009025976</v>
      </c>
      <c r="AU95" s="15"/>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row>
    <row r="96" spans="1:75" ht="15.75">
      <c r="A96" s="346">
        <v>7</v>
      </c>
      <c r="B96" s="7" t="s">
        <v>108</v>
      </c>
      <c r="C96" s="417"/>
      <c r="D96" s="417"/>
      <c r="E96" s="347">
        <f t="shared" si="77"/>
        <v>10.678</v>
      </c>
      <c r="F96" s="348">
        <v>4.32</v>
      </c>
      <c r="G96" s="347">
        <f t="shared" si="78"/>
        <v>5.386000000000001</v>
      </c>
      <c r="H96" s="347">
        <v>0.7</v>
      </c>
      <c r="I96" s="349"/>
      <c r="J96" s="347"/>
      <c r="K96" s="347">
        <f t="shared" si="74"/>
        <v>2.16</v>
      </c>
      <c r="L96" s="347"/>
      <c r="M96" s="347"/>
      <c r="N96" s="347"/>
      <c r="O96" s="350">
        <f t="shared" si="75"/>
        <v>1.08</v>
      </c>
      <c r="P96" s="347"/>
      <c r="Q96" s="347"/>
      <c r="R96" s="347"/>
      <c r="S96" s="351"/>
      <c r="T96" s="347">
        <f t="shared" si="76"/>
        <v>1.296</v>
      </c>
      <c r="U96" s="347"/>
      <c r="V96" s="347"/>
      <c r="W96" s="347">
        <v>0.15</v>
      </c>
      <c r="X96" s="347">
        <f t="shared" si="81"/>
        <v>0.9720000000000001</v>
      </c>
      <c r="Y96" s="352">
        <f t="shared" si="79"/>
        <v>190922640.00000003</v>
      </c>
      <c r="Z96" s="354"/>
      <c r="AA96" s="316">
        <f>AB96+AC96+AS96</f>
        <v>13.4535</v>
      </c>
      <c r="AB96" s="355">
        <v>4.74</v>
      </c>
      <c r="AC96" s="316">
        <f>SUM(AD96:AR96)</f>
        <v>7.467</v>
      </c>
      <c r="AD96" s="316">
        <v>0.7</v>
      </c>
      <c r="AE96" s="356">
        <v>0.8</v>
      </c>
      <c r="AF96" s="316"/>
      <c r="AG96" s="316">
        <f>(AB96+AE96+AF96)*50%</f>
        <v>2.77</v>
      </c>
      <c r="AH96" s="316"/>
      <c r="AI96" s="316"/>
      <c r="AJ96" s="316"/>
      <c r="AK96" s="357">
        <f>(AB96+AE96+AF96)*25%</f>
        <v>1.385</v>
      </c>
      <c r="AL96" s="316"/>
      <c r="AM96" s="316"/>
      <c r="AN96" s="316"/>
      <c r="AO96" s="319"/>
      <c r="AP96" s="316">
        <f>(AB96+AE96+AF96)*30%</f>
        <v>1.662</v>
      </c>
      <c r="AQ96" s="318"/>
      <c r="AR96" s="316">
        <v>0.15</v>
      </c>
      <c r="AS96" s="442">
        <f>(AB96+AE96)*22.5%</f>
        <v>1.2465</v>
      </c>
      <c r="AT96" s="284">
        <f>AA96*1490000*12</f>
        <v>240548580</v>
      </c>
      <c r="AU96" s="15"/>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row>
    <row r="97" spans="1:75" ht="15.75">
      <c r="A97" s="346">
        <v>8</v>
      </c>
      <c r="B97" s="7" t="s">
        <v>107</v>
      </c>
      <c r="C97" s="417"/>
      <c r="D97" s="417"/>
      <c r="E97" s="347">
        <f t="shared" si="77"/>
        <v>6.4464999999999995</v>
      </c>
      <c r="F97" s="348">
        <v>2.46</v>
      </c>
      <c r="G97" s="347">
        <f t="shared" si="78"/>
        <v>3.433</v>
      </c>
      <c r="H97" s="347">
        <v>0.7</v>
      </c>
      <c r="I97" s="349"/>
      <c r="J97" s="347"/>
      <c r="K97" s="347">
        <f t="shared" si="74"/>
        <v>1.23</v>
      </c>
      <c r="L97" s="347"/>
      <c r="M97" s="347"/>
      <c r="N97" s="347"/>
      <c r="O97" s="350">
        <f t="shared" si="75"/>
        <v>0.615</v>
      </c>
      <c r="P97" s="347"/>
      <c r="Q97" s="347"/>
      <c r="R97" s="347"/>
      <c r="S97" s="351"/>
      <c r="T97" s="347">
        <f t="shared" si="76"/>
        <v>0.738</v>
      </c>
      <c r="U97" s="347"/>
      <c r="V97" s="347"/>
      <c r="W97" s="347">
        <v>0.15</v>
      </c>
      <c r="X97" s="347">
        <f t="shared" si="81"/>
        <v>0.5535</v>
      </c>
      <c r="Y97" s="352">
        <f t="shared" si="79"/>
        <v>115263420</v>
      </c>
      <c r="Z97" s="313"/>
      <c r="AA97" s="316">
        <f>AB97+AC97+AS97</f>
        <v>10.018250000000002</v>
      </c>
      <c r="AB97" s="355">
        <v>3.33</v>
      </c>
      <c r="AC97" s="316">
        <f aca="true" t="shared" si="84" ref="AC97:AC128">SUM(AD97:AR97)</f>
        <v>5.781500000000001</v>
      </c>
      <c r="AD97" s="316">
        <v>0.7</v>
      </c>
      <c r="AE97" s="356">
        <v>0.7</v>
      </c>
      <c r="AF97" s="316"/>
      <c r="AG97" s="316">
        <f aca="true" t="shared" si="85" ref="AG97:AG124">(AB97+AE97+AF97)*50%</f>
        <v>2.015</v>
      </c>
      <c r="AH97" s="316"/>
      <c r="AI97" s="316"/>
      <c r="AJ97" s="316"/>
      <c r="AK97" s="357">
        <f aca="true" t="shared" si="86" ref="AK97:AK124">(AB97+AE97+AF97)*25%</f>
        <v>1.0075</v>
      </c>
      <c r="AL97" s="316"/>
      <c r="AM97" s="316"/>
      <c r="AN97" s="316"/>
      <c r="AO97" s="319"/>
      <c r="AP97" s="316">
        <f aca="true" t="shared" si="87" ref="AP97:AP126">(AB97+AE97+AF97)*30%</f>
        <v>1.209</v>
      </c>
      <c r="AQ97" s="313">
        <f>AQ98</f>
        <v>0</v>
      </c>
      <c r="AR97" s="316">
        <v>0.15</v>
      </c>
      <c r="AS97" s="442">
        <f aca="true" t="shared" si="88" ref="AS97:AS128">(AB97+AE97)*22.5%</f>
        <v>0.9067500000000001</v>
      </c>
      <c r="AT97" s="284">
        <f aca="true" t="shared" si="89" ref="AT97:AT128">AA97*1490000*12</f>
        <v>179126310.00000006</v>
      </c>
      <c r="AU97" s="15"/>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row>
    <row r="98" spans="1:75" ht="15.75">
      <c r="A98" s="346">
        <v>9</v>
      </c>
      <c r="B98" s="7" t="s">
        <v>38</v>
      </c>
      <c r="C98" s="417"/>
      <c r="D98" s="417"/>
      <c r="E98" s="347">
        <f t="shared" si="77"/>
        <v>13.772</v>
      </c>
      <c r="F98" s="348">
        <v>5.08</v>
      </c>
      <c r="G98" s="347">
        <f t="shared" si="78"/>
        <v>7.414</v>
      </c>
      <c r="H98" s="347">
        <v>0.7</v>
      </c>
      <c r="I98" s="349">
        <v>0.6</v>
      </c>
      <c r="J98" s="347"/>
      <c r="K98" s="347">
        <f t="shared" si="74"/>
        <v>2.84</v>
      </c>
      <c r="L98" s="347"/>
      <c r="M98" s="347"/>
      <c r="N98" s="347"/>
      <c r="O98" s="350">
        <f t="shared" si="75"/>
        <v>1.42</v>
      </c>
      <c r="P98" s="347"/>
      <c r="Q98" s="347"/>
      <c r="R98" s="347"/>
      <c r="S98" s="351"/>
      <c r="T98" s="347">
        <f t="shared" si="76"/>
        <v>1.704</v>
      </c>
      <c r="U98" s="347"/>
      <c r="V98" s="347"/>
      <c r="W98" s="347">
        <v>0.15</v>
      </c>
      <c r="X98" s="347">
        <f t="shared" si="81"/>
        <v>1.278</v>
      </c>
      <c r="Y98" s="352">
        <f t="shared" si="79"/>
        <v>246243360</v>
      </c>
      <c r="Z98" s="318"/>
      <c r="AA98" s="316">
        <f>AB98+AC98+AS98</f>
        <v>15.9462</v>
      </c>
      <c r="AB98" s="355">
        <v>5.76</v>
      </c>
      <c r="AC98" s="316">
        <f t="shared" si="84"/>
        <v>8.639999999999999</v>
      </c>
      <c r="AD98" s="316">
        <v>0.7</v>
      </c>
      <c r="AE98" s="356">
        <v>0.6</v>
      </c>
      <c r="AF98" s="316"/>
      <c r="AG98" s="316">
        <f t="shared" si="85"/>
        <v>3.1799999999999997</v>
      </c>
      <c r="AH98" s="316"/>
      <c r="AI98" s="316">
        <v>0.512</v>
      </c>
      <c r="AJ98" s="316"/>
      <c r="AK98" s="357">
        <f t="shared" si="86"/>
        <v>1.5899999999999999</v>
      </c>
      <c r="AL98" s="316"/>
      <c r="AM98" s="316"/>
      <c r="AN98" s="316"/>
      <c r="AO98" s="319"/>
      <c r="AP98" s="316">
        <f t="shared" si="87"/>
        <v>1.9079999999999997</v>
      </c>
      <c r="AQ98" s="318"/>
      <c r="AR98" s="316">
        <v>0.15</v>
      </c>
      <c r="AS98" s="442">
        <f>(AB98+AE98+AI98)*22.5%</f>
        <v>1.5462</v>
      </c>
      <c r="AT98" s="284">
        <f>AA98*1490000*12</f>
        <v>285118056</v>
      </c>
      <c r="AU98" s="15"/>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row>
    <row r="99" spans="1:75" ht="15.75">
      <c r="A99" s="346">
        <v>10</v>
      </c>
      <c r="B99" s="7" t="s">
        <v>106</v>
      </c>
      <c r="C99" s="417"/>
      <c r="D99" s="417"/>
      <c r="E99" s="347">
        <f t="shared" si="77"/>
        <v>10.582250000000002</v>
      </c>
      <c r="F99" s="348">
        <v>3.99</v>
      </c>
      <c r="G99" s="347">
        <f t="shared" si="78"/>
        <v>5.649500000000001</v>
      </c>
      <c r="H99" s="347">
        <v>0.7</v>
      </c>
      <c r="I99" s="349">
        <v>0.2</v>
      </c>
      <c r="J99" s="347"/>
      <c r="K99" s="347">
        <f t="shared" si="74"/>
        <v>2.095</v>
      </c>
      <c r="L99" s="347"/>
      <c r="M99" s="347"/>
      <c r="N99" s="347"/>
      <c r="O99" s="350">
        <f t="shared" si="75"/>
        <v>1.0475</v>
      </c>
      <c r="P99" s="347"/>
      <c r="Q99" s="347"/>
      <c r="R99" s="347"/>
      <c r="S99" s="351"/>
      <c r="T99" s="347">
        <f t="shared" si="76"/>
        <v>1.2570000000000001</v>
      </c>
      <c r="U99" s="347">
        <v>0.2</v>
      </c>
      <c r="V99" s="347"/>
      <c r="W99" s="347">
        <v>0.15</v>
      </c>
      <c r="X99" s="347">
        <f t="shared" si="81"/>
        <v>0.9427500000000001</v>
      </c>
      <c r="Y99" s="352">
        <f t="shared" si="79"/>
        <v>189210630.00000006</v>
      </c>
      <c r="Z99" s="313"/>
      <c r="AA99" s="316">
        <f>AB99+AC99+AS99</f>
        <v>10.255</v>
      </c>
      <c r="AB99" s="355">
        <v>3.66</v>
      </c>
      <c r="AC99" s="316">
        <f>SUM(AD99:AR99)</f>
        <v>5.704</v>
      </c>
      <c r="AD99" s="316">
        <v>0.7</v>
      </c>
      <c r="AE99" s="356">
        <v>0.3</v>
      </c>
      <c r="AF99" s="316"/>
      <c r="AG99" s="316">
        <f t="shared" si="85"/>
        <v>1.98</v>
      </c>
      <c r="AH99" s="316"/>
      <c r="AI99" s="316"/>
      <c r="AJ99" s="316"/>
      <c r="AK99" s="357">
        <f t="shared" si="86"/>
        <v>0.99</v>
      </c>
      <c r="AL99" s="316"/>
      <c r="AM99" s="316"/>
      <c r="AN99" s="316"/>
      <c r="AO99" s="319"/>
      <c r="AP99" s="316">
        <f t="shared" si="87"/>
        <v>1.188</v>
      </c>
      <c r="AQ99" s="318">
        <f>(AB99+AE99)*10%</f>
        <v>0.396</v>
      </c>
      <c r="AR99" s="316">
        <v>0.15</v>
      </c>
      <c r="AS99" s="442">
        <f t="shared" si="88"/>
        <v>0.891</v>
      </c>
      <c r="AT99" s="284">
        <f t="shared" si="89"/>
        <v>183359400.00000003</v>
      </c>
      <c r="AU99" s="15"/>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row>
    <row r="100" spans="1:75" ht="15.75">
      <c r="A100" s="346">
        <v>11</v>
      </c>
      <c r="B100" s="7" t="s">
        <v>105</v>
      </c>
      <c r="C100" s="417"/>
      <c r="D100" s="417"/>
      <c r="E100" s="347">
        <f t="shared" si="77"/>
        <v>9.631500000000003</v>
      </c>
      <c r="F100" s="348">
        <v>3.66</v>
      </c>
      <c r="G100" s="347">
        <f t="shared" si="78"/>
        <v>5.103000000000001</v>
      </c>
      <c r="H100" s="347">
        <v>0.7</v>
      </c>
      <c r="I100" s="349">
        <v>0.2</v>
      </c>
      <c r="J100" s="347"/>
      <c r="K100" s="347">
        <f t="shared" si="74"/>
        <v>1.9300000000000002</v>
      </c>
      <c r="L100" s="347"/>
      <c r="M100" s="347"/>
      <c r="N100" s="347"/>
      <c r="O100" s="350">
        <f t="shared" si="75"/>
        <v>0.9650000000000001</v>
      </c>
      <c r="P100" s="347"/>
      <c r="Q100" s="347"/>
      <c r="R100" s="347"/>
      <c r="S100" s="351"/>
      <c r="T100" s="347">
        <f t="shared" si="76"/>
        <v>1.1580000000000001</v>
      </c>
      <c r="U100" s="347"/>
      <c r="V100" s="347"/>
      <c r="W100" s="347">
        <v>0.15</v>
      </c>
      <c r="X100" s="347">
        <f t="shared" si="81"/>
        <v>0.8685</v>
      </c>
      <c r="Y100" s="352">
        <f t="shared" si="79"/>
        <v>172211220.00000006</v>
      </c>
      <c r="Z100" s="313"/>
      <c r="AA100" s="316">
        <f aca="true" t="shared" si="90" ref="AA100:AA128">AB100+AC100+AS100</f>
        <v>11.5425</v>
      </c>
      <c r="AB100" s="355">
        <v>4.4</v>
      </c>
      <c r="AC100" s="316">
        <f t="shared" si="84"/>
        <v>6.085000000000001</v>
      </c>
      <c r="AD100" s="316">
        <v>0.7</v>
      </c>
      <c r="AE100" s="356">
        <v>0.3</v>
      </c>
      <c r="AF100" s="316"/>
      <c r="AG100" s="316">
        <f t="shared" si="85"/>
        <v>2.35</v>
      </c>
      <c r="AH100" s="316"/>
      <c r="AI100" s="316"/>
      <c r="AJ100" s="316"/>
      <c r="AK100" s="357">
        <f t="shared" si="86"/>
        <v>1.175</v>
      </c>
      <c r="AL100" s="316"/>
      <c r="AM100" s="316"/>
      <c r="AN100" s="316"/>
      <c r="AO100" s="319"/>
      <c r="AP100" s="316">
        <f t="shared" si="87"/>
        <v>1.41</v>
      </c>
      <c r="AQ100" s="313"/>
      <c r="AR100" s="316">
        <v>0.15</v>
      </c>
      <c r="AS100" s="442">
        <f t="shared" si="88"/>
        <v>1.0575</v>
      </c>
      <c r="AT100" s="284">
        <f t="shared" si="89"/>
        <v>206379900</v>
      </c>
      <c r="AU100" s="15"/>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row>
    <row r="101" spans="1:75" ht="15.75">
      <c r="A101" s="346">
        <v>12</v>
      </c>
      <c r="B101" s="7" t="s">
        <v>28</v>
      </c>
      <c r="C101" s="417"/>
      <c r="D101" s="417"/>
      <c r="E101" s="347">
        <f t="shared" si="77"/>
        <v>10.496000000000002</v>
      </c>
      <c r="F101" s="348">
        <v>3.99</v>
      </c>
      <c r="G101" s="347">
        <f t="shared" si="78"/>
        <v>5.552000000000001</v>
      </c>
      <c r="H101" s="347">
        <v>0.7</v>
      </c>
      <c r="I101" s="349">
        <v>0.25</v>
      </c>
      <c r="J101" s="347"/>
      <c r="K101" s="347">
        <f t="shared" si="74"/>
        <v>2.12</v>
      </c>
      <c r="L101" s="347"/>
      <c r="M101" s="347"/>
      <c r="N101" s="347"/>
      <c r="O101" s="350">
        <f t="shared" si="75"/>
        <v>1.06</v>
      </c>
      <c r="P101" s="347"/>
      <c r="Q101" s="347"/>
      <c r="R101" s="347"/>
      <c r="S101" s="351"/>
      <c r="T101" s="347">
        <f t="shared" si="76"/>
        <v>1.272</v>
      </c>
      <c r="U101" s="347"/>
      <c r="V101" s="347"/>
      <c r="W101" s="347">
        <v>0.15</v>
      </c>
      <c r="X101" s="347">
        <f t="shared" si="81"/>
        <v>0.9540000000000001</v>
      </c>
      <c r="Y101" s="352">
        <f t="shared" si="79"/>
        <v>187668480.00000006</v>
      </c>
      <c r="Z101" s="318"/>
      <c r="AA101" s="316">
        <f t="shared" si="90"/>
        <v>5.6274999999999995</v>
      </c>
      <c r="AB101" s="355">
        <v>2.1</v>
      </c>
      <c r="AC101" s="316">
        <f t="shared" si="84"/>
        <v>3.0549999999999997</v>
      </c>
      <c r="AD101" s="316">
        <v>0.7</v>
      </c>
      <c r="AE101" s="356"/>
      <c r="AF101" s="316"/>
      <c r="AG101" s="316">
        <f t="shared" si="85"/>
        <v>1.05</v>
      </c>
      <c r="AH101" s="316"/>
      <c r="AI101" s="316"/>
      <c r="AJ101" s="316"/>
      <c r="AK101" s="357">
        <f t="shared" si="86"/>
        <v>0.525</v>
      </c>
      <c r="AL101" s="316"/>
      <c r="AM101" s="316"/>
      <c r="AN101" s="316"/>
      <c r="AO101" s="319"/>
      <c r="AP101" s="316">
        <f t="shared" si="87"/>
        <v>0.63</v>
      </c>
      <c r="AQ101" s="318"/>
      <c r="AR101" s="316">
        <v>0.15</v>
      </c>
      <c r="AS101" s="442">
        <f t="shared" si="88"/>
        <v>0.47250000000000003</v>
      </c>
      <c r="AT101" s="284">
        <f t="shared" si="89"/>
        <v>100619699.99999999</v>
      </c>
      <c r="AU101" s="15"/>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row>
    <row r="102" spans="1:75" ht="15.75">
      <c r="A102" s="346">
        <v>13</v>
      </c>
      <c r="B102" s="7" t="s">
        <v>26</v>
      </c>
      <c r="C102" s="417"/>
      <c r="D102" s="417"/>
      <c r="E102" s="347">
        <f t="shared" si="77"/>
        <v>9.790750000000001</v>
      </c>
      <c r="F102" s="348">
        <v>3.33</v>
      </c>
      <c r="G102" s="347">
        <f t="shared" si="78"/>
        <v>5.5765</v>
      </c>
      <c r="H102" s="347">
        <v>0.7</v>
      </c>
      <c r="I102" s="349">
        <v>0.6</v>
      </c>
      <c r="J102" s="347"/>
      <c r="K102" s="347">
        <f t="shared" si="74"/>
        <v>1.965</v>
      </c>
      <c r="L102" s="347"/>
      <c r="M102" s="347"/>
      <c r="N102" s="347"/>
      <c r="O102" s="350">
        <f t="shared" si="75"/>
        <v>0.9825</v>
      </c>
      <c r="P102" s="347"/>
      <c r="Q102" s="347"/>
      <c r="R102" s="347"/>
      <c r="S102" s="351"/>
      <c r="T102" s="347">
        <f t="shared" si="76"/>
        <v>1.179</v>
      </c>
      <c r="U102" s="347"/>
      <c r="V102" s="347"/>
      <c r="W102" s="347">
        <v>0.15</v>
      </c>
      <c r="X102" s="347">
        <f t="shared" si="81"/>
        <v>0.8842500000000001</v>
      </c>
      <c r="Y102" s="352">
        <f t="shared" si="79"/>
        <v>175058610.00000003</v>
      </c>
      <c r="Z102" s="318"/>
      <c r="AA102" s="316">
        <f t="shared" si="90"/>
        <v>10.678</v>
      </c>
      <c r="AB102" s="355">
        <v>4.32</v>
      </c>
      <c r="AC102" s="316">
        <f t="shared" si="84"/>
        <v>5.386000000000001</v>
      </c>
      <c r="AD102" s="316">
        <v>0.7</v>
      </c>
      <c r="AE102" s="356"/>
      <c r="AF102" s="316"/>
      <c r="AG102" s="316">
        <f t="shared" si="85"/>
        <v>2.16</v>
      </c>
      <c r="AH102" s="316"/>
      <c r="AI102" s="316"/>
      <c r="AJ102" s="316"/>
      <c r="AK102" s="357">
        <f t="shared" si="86"/>
        <v>1.08</v>
      </c>
      <c r="AL102" s="316"/>
      <c r="AM102" s="316"/>
      <c r="AN102" s="316"/>
      <c r="AO102" s="319"/>
      <c r="AP102" s="316">
        <f t="shared" si="87"/>
        <v>1.296</v>
      </c>
      <c r="AQ102" s="318"/>
      <c r="AR102" s="316">
        <v>0.15</v>
      </c>
      <c r="AS102" s="442">
        <f t="shared" si="88"/>
        <v>0.9720000000000001</v>
      </c>
      <c r="AT102" s="284">
        <f t="shared" si="89"/>
        <v>190922640.00000003</v>
      </c>
      <c r="AU102" s="15"/>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row>
    <row r="103" spans="1:75" ht="15.75">
      <c r="A103" s="346">
        <v>14</v>
      </c>
      <c r="B103" s="7" t="s">
        <v>104</v>
      </c>
      <c r="C103" s="417"/>
      <c r="D103" s="417"/>
      <c r="E103" s="347">
        <f t="shared" si="77"/>
        <v>6.924249999999999</v>
      </c>
      <c r="F103" s="348">
        <v>2.67</v>
      </c>
      <c r="G103" s="347">
        <f t="shared" si="78"/>
        <v>3.6534999999999997</v>
      </c>
      <c r="H103" s="347">
        <v>0.7</v>
      </c>
      <c r="I103" s="349"/>
      <c r="J103" s="347"/>
      <c r="K103" s="347">
        <f t="shared" si="74"/>
        <v>1.335</v>
      </c>
      <c r="L103" s="347"/>
      <c r="M103" s="347"/>
      <c r="N103" s="347"/>
      <c r="O103" s="350">
        <f t="shared" si="75"/>
        <v>0.6675</v>
      </c>
      <c r="P103" s="347"/>
      <c r="Q103" s="347"/>
      <c r="R103" s="347"/>
      <c r="S103" s="351"/>
      <c r="T103" s="347">
        <f t="shared" si="76"/>
        <v>0.8009999999999999</v>
      </c>
      <c r="U103" s="347"/>
      <c r="V103" s="347"/>
      <c r="W103" s="347">
        <v>0.15</v>
      </c>
      <c r="X103" s="347">
        <f t="shared" si="81"/>
        <v>0.60075</v>
      </c>
      <c r="Y103" s="352">
        <f t="shared" si="79"/>
        <v>123805589.99999997</v>
      </c>
      <c r="Z103" s="318"/>
      <c r="AA103" s="316">
        <f>AB103+AC103+AS103</f>
        <v>6.4464999999999995</v>
      </c>
      <c r="AB103" s="355">
        <v>2.46</v>
      </c>
      <c r="AC103" s="316">
        <f t="shared" si="84"/>
        <v>3.433</v>
      </c>
      <c r="AD103" s="316">
        <v>0.7</v>
      </c>
      <c r="AE103" s="356"/>
      <c r="AF103" s="316"/>
      <c r="AG103" s="316">
        <f t="shared" si="85"/>
        <v>1.23</v>
      </c>
      <c r="AH103" s="316"/>
      <c r="AI103" s="316"/>
      <c r="AJ103" s="316"/>
      <c r="AK103" s="357">
        <f t="shared" si="86"/>
        <v>0.615</v>
      </c>
      <c r="AL103" s="316"/>
      <c r="AM103" s="316"/>
      <c r="AN103" s="316"/>
      <c r="AO103" s="319"/>
      <c r="AP103" s="316">
        <f t="shared" si="87"/>
        <v>0.738</v>
      </c>
      <c r="AQ103" s="318"/>
      <c r="AR103" s="316">
        <v>0.15</v>
      </c>
      <c r="AS103" s="442">
        <f t="shared" si="88"/>
        <v>0.5535</v>
      </c>
      <c r="AT103" s="284">
        <f t="shared" si="89"/>
        <v>115263420</v>
      </c>
      <c r="AU103" s="15"/>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row>
    <row r="104" spans="1:75" ht="15.75">
      <c r="A104" s="346">
        <v>15</v>
      </c>
      <c r="B104" s="7" t="s">
        <v>52</v>
      </c>
      <c r="C104" s="417"/>
      <c r="D104" s="417"/>
      <c r="E104" s="347">
        <f t="shared" si="77"/>
        <v>10.60975</v>
      </c>
      <c r="F104" s="348">
        <v>3.99</v>
      </c>
      <c r="G104" s="347">
        <f t="shared" si="78"/>
        <v>5.6545000000000005</v>
      </c>
      <c r="H104" s="347">
        <v>0.7</v>
      </c>
      <c r="I104" s="349">
        <v>0.3</v>
      </c>
      <c r="J104" s="347"/>
      <c r="K104" s="347">
        <f t="shared" si="74"/>
        <v>2.145</v>
      </c>
      <c r="L104" s="347"/>
      <c r="M104" s="347"/>
      <c r="N104" s="347"/>
      <c r="O104" s="350">
        <f t="shared" si="75"/>
        <v>1.0725</v>
      </c>
      <c r="P104" s="347"/>
      <c r="Q104" s="347"/>
      <c r="R104" s="347"/>
      <c r="S104" s="351"/>
      <c r="T104" s="347">
        <f t="shared" si="76"/>
        <v>1.287</v>
      </c>
      <c r="U104" s="347"/>
      <c r="V104" s="347"/>
      <c r="W104" s="347">
        <v>0.15</v>
      </c>
      <c r="X104" s="347">
        <f t="shared" si="81"/>
        <v>0.96525</v>
      </c>
      <c r="Y104" s="352">
        <f t="shared" si="79"/>
        <v>189702330</v>
      </c>
      <c r="Z104" s="318"/>
      <c r="AA104" s="316">
        <f t="shared" si="90"/>
        <v>13.772</v>
      </c>
      <c r="AB104" s="355">
        <v>5.08</v>
      </c>
      <c r="AC104" s="316">
        <f t="shared" si="84"/>
        <v>7.414</v>
      </c>
      <c r="AD104" s="316">
        <v>0.7</v>
      </c>
      <c r="AE104" s="356">
        <v>0.6</v>
      </c>
      <c r="AF104" s="316"/>
      <c r="AG104" s="316">
        <f t="shared" si="85"/>
        <v>2.84</v>
      </c>
      <c r="AH104" s="316"/>
      <c r="AI104" s="316"/>
      <c r="AJ104" s="316"/>
      <c r="AK104" s="357">
        <f t="shared" si="86"/>
        <v>1.42</v>
      </c>
      <c r="AL104" s="316"/>
      <c r="AM104" s="316"/>
      <c r="AN104" s="316"/>
      <c r="AO104" s="319"/>
      <c r="AP104" s="316">
        <f t="shared" si="87"/>
        <v>1.704</v>
      </c>
      <c r="AQ104" s="318"/>
      <c r="AR104" s="316">
        <v>0.15</v>
      </c>
      <c r="AS104" s="442">
        <f t="shared" si="88"/>
        <v>1.278</v>
      </c>
      <c r="AT104" s="284">
        <f t="shared" si="89"/>
        <v>246243360</v>
      </c>
      <c r="AU104" s="15"/>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row>
    <row r="105" spans="1:75" ht="15.75">
      <c r="A105" s="346">
        <v>16</v>
      </c>
      <c r="B105" s="7" t="s">
        <v>25</v>
      </c>
      <c r="C105" s="417"/>
      <c r="D105" s="417"/>
      <c r="E105" s="347">
        <f t="shared" si="77"/>
        <v>11.883750000000001</v>
      </c>
      <c r="F105" s="348">
        <v>4.65</v>
      </c>
      <c r="G105" s="347">
        <f t="shared" si="78"/>
        <v>6.142500000000001</v>
      </c>
      <c r="H105" s="347">
        <v>0.7</v>
      </c>
      <c r="I105" s="349">
        <v>0.2</v>
      </c>
      <c r="J105" s="347"/>
      <c r="K105" s="347">
        <f t="shared" si="74"/>
        <v>2.4250000000000003</v>
      </c>
      <c r="L105" s="347"/>
      <c r="M105" s="347"/>
      <c r="N105" s="347"/>
      <c r="O105" s="350">
        <f t="shared" si="75"/>
        <v>1.2125000000000001</v>
      </c>
      <c r="P105" s="347"/>
      <c r="Q105" s="347"/>
      <c r="R105" s="347"/>
      <c r="S105" s="351"/>
      <c r="T105" s="347">
        <f t="shared" si="76"/>
        <v>1.455</v>
      </c>
      <c r="U105" s="347"/>
      <c r="V105" s="347"/>
      <c r="W105" s="347">
        <v>0.15</v>
      </c>
      <c r="X105" s="347">
        <f t="shared" si="81"/>
        <v>1.09125</v>
      </c>
      <c r="Y105" s="352">
        <f t="shared" si="79"/>
        <v>212481450</v>
      </c>
      <c r="Z105" s="318"/>
      <c r="AA105" s="316">
        <f t="shared" si="90"/>
        <v>10.58225</v>
      </c>
      <c r="AB105" s="355">
        <v>3.99</v>
      </c>
      <c r="AC105" s="316">
        <f t="shared" si="84"/>
        <v>5.6495</v>
      </c>
      <c r="AD105" s="316">
        <v>0.7</v>
      </c>
      <c r="AE105" s="356">
        <v>0.2</v>
      </c>
      <c r="AF105" s="316"/>
      <c r="AG105" s="316">
        <f t="shared" si="85"/>
        <v>2.095</v>
      </c>
      <c r="AH105" s="316"/>
      <c r="AI105" s="316"/>
      <c r="AJ105" s="316"/>
      <c r="AK105" s="357">
        <f t="shared" si="86"/>
        <v>1.0475</v>
      </c>
      <c r="AL105" s="316"/>
      <c r="AM105" s="316"/>
      <c r="AN105" s="316"/>
      <c r="AO105" s="319"/>
      <c r="AP105" s="316">
        <f t="shared" si="87"/>
        <v>1.2570000000000001</v>
      </c>
      <c r="AQ105" s="318"/>
      <c r="AR105" s="316">
        <f>0.15+0.2</f>
        <v>0.35</v>
      </c>
      <c r="AS105" s="442">
        <f t="shared" si="88"/>
        <v>0.9427500000000001</v>
      </c>
      <c r="AT105" s="284"/>
      <c r="AU105" s="15"/>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row>
    <row r="106" spans="1:75" ht="15.75">
      <c r="A106" s="346">
        <v>17</v>
      </c>
      <c r="B106" s="7" t="s">
        <v>103</v>
      </c>
      <c r="C106" s="417"/>
      <c r="D106" s="417"/>
      <c r="E106" s="347">
        <f t="shared" si="77"/>
        <v>8.88075</v>
      </c>
      <c r="F106" s="348">
        <v>3.33</v>
      </c>
      <c r="G106" s="347">
        <f t="shared" si="78"/>
        <v>4.756500000000001</v>
      </c>
      <c r="H106" s="347">
        <v>0.7</v>
      </c>
      <c r="I106" s="347">
        <v>0.2</v>
      </c>
      <c r="J106" s="347"/>
      <c r="K106" s="347">
        <f t="shared" si="74"/>
        <v>1.7650000000000001</v>
      </c>
      <c r="L106" s="347"/>
      <c r="M106" s="347"/>
      <c r="N106" s="347"/>
      <c r="O106" s="350">
        <f t="shared" si="75"/>
        <v>0.8825000000000001</v>
      </c>
      <c r="P106" s="347"/>
      <c r="Q106" s="347"/>
      <c r="R106" s="347"/>
      <c r="S106" s="351"/>
      <c r="T106" s="347">
        <f t="shared" si="76"/>
        <v>1.059</v>
      </c>
      <c r="U106" s="347"/>
      <c r="V106" s="347"/>
      <c r="W106" s="347">
        <v>0.15</v>
      </c>
      <c r="X106" s="347">
        <f t="shared" si="81"/>
        <v>0.7942500000000001</v>
      </c>
      <c r="Y106" s="352">
        <f t="shared" si="79"/>
        <v>158787810.00000003</v>
      </c>
      <c r="Z106" s="318"/>
      <c r="AA106" s="316">
        <f>AB106+AC106+AS106</f>
        <v>2.8665</v>
      </c>
      <c r="AB106" s="355">
        <v>2.34</v>
      </c>
      <c r="AC106" s="316">
        <f t="shared" si="84"/>
        <v>0</v>
      </c>
      <c r="AD106" s="316"/>
      <c r="AE106" s="356"/>
      <c r="AF106" s="316"/>
      <c r="AG106" s="316"/>
      <c r="AH106" s="316"/>
      <c r="AI106" s="316"/>
      <c r="AJ106" s="316"/>
      <c r="AK106" s="357"/>
      <c r="AL106" s="316"/>
      <c r="AM106" s="316"/>
      <c r="AN106" s="316"/>
      <c r="AO106" s="319"/>
      <c r="AP106" s="316"/>
      <c r="AQ106" s="318"/>
      <c r="AR106" s="316"/>
      <c r="AS106" s="442">
        <f t="shared" si="88"/>
        <v>0.5265</v>
      </c>
      <c r="AT106" s="284">
        <f>AA106*12*1490000</f>
        <v>51253019.99999999</v>
      </c>
      <c r="AU106" s="15"/>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row>
    <row r="107" spans="1:75" ht="15.75">
      <c r="A107" s="346">
        <v>18</v>
      </c>
      <c r="B107" s="7" t="s">
        <v>102</v>
      </c>
      <c r="C107" s="417"/>
      <c r="D107" s="417"/>
      <c r="E107" s="347">
        <f t="shared" si="77"/>
        <v>10.56425</v>
      </c>
      <c r="F107" s="348">
        <v>4.27</v>
      </c>
      <c r="G107" s="347">
        <f t="shared" si="78"/>
        <v>5.3335</v>
      </c>
      <c r="H107" s="347">
        <v>0.7</v>
      </c>
      <c r="I107" s="347"/>
      <c r="J107" s="347"/>
      <c r="K107" s="347">
        <f t="shared" si="74"/>
        <v>2.135</v>
      </c>
      <c r="L107" s="347"/>
      <c r="M107" s="347"/>
      <c r="N107" s="347"/>
      <c r="O107" s="350">
        <f t="shared" si="75"/>
        <v>1.0675</v>
      </c>
      <c r="P107" s="347"/>
      <c r="Q107" s="347"/>
      <c r="R107" s="347"/>
      <c r="S107" s="351"/>
      <c r="T107" s="347">
        <f t="shared" si="76"/>
        <v>1.281</v>
      </c>
      <c r="U107" s="347"/>
      <c r="V107" s="347"/>
      <c r="W107" s="347">
        <v>0.15</v>
      </c>
      <c r="X107" s="347">
        <f t="shared" si="81"/>
        <v>0.9607499999999999</v>
      </c>
      <c r="Y107" s="352">
        <f t="shared" si="79"/>
        <v>188888790</v>
      </c>
      <c r="Z107" s="313"/>
      <c r="AA107" s="316">
        <f t="shared" si="90"/>
        <v>9.631500000000003</v>
      </c>
      <c r="AB107" s="355">
        <v>3.66</v>
      </c>
      <c r="AC107" s="316">
        <f t="shared" si="84"/>
        <v>5.103000000000001</v>
      </c>
      <c r="AD107" s="316">
        <v>0.7</v>
      </c>
      <c r="AE107" s="356">
        <v>0.2</v>
      </c>
      <c r="AF107" s="316"/>
      <c r="AG107" s="316">
        <f t="shared" si="85"/>
        <v>1.9300000000000002</v>
      </c>
      <c r="AH107" s="316"/>
      <c r="AI107" s="316"/>
      <c r="AJ107" s="316"/>
      <c r="AK107" s="357">
        <f t="shared" si="86"/>
        <v>0.9650000000000001</v>
      </c>
      <c r="AL107" s="316"/>
      <c r="AM107" s="316"/>
      <c r="AN107" s="316"/>
      <c r="AO107" s="319"/>
      <c r="AP107" s="316">
        <f t="shared" si="87"/>
        <v>1.1580000000000001</v>
      </c>
      <c r="AQ107" s="313"/>
      <c r="AR107" s="316">
        <v>0.15</v>
      </c>
      <c r="AS107" s="442">
        <f t="shared" si="88"/>
        <v>0.8685</v>
      </c>
      <c r="AT107" s="284">
        <f t="shared" si="89"/>
        <v>172211220.00000006</v>
      </c>
      <c r="AU107" s="15"/>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row>
    <row r="108" spans="1:75" ht="15.75">
      <c r="A108" s="346">
        <v>19</v>
      </c>
      <c r="B108" s="7" t="s">
        <v>101</v>
      </c>
      <c r="C108" s="417"/>
      <c r="D108" s="417"/>
      <c r="E108" s="347">
        <f t="shared" si="77"/>
        <v>8.88075</v>
      </c>
      <c r="F108" s="348">
        <v>3.33</v>
      </c>
      <c r="G108" s="347">
        <f t="shared" si="78"/>
        <v>4.756500000000001</v>
      </c>
      <c r="H108" s="347">
        <v>0.7</v>
      </c>
      <c r="I108" s="347">
        <v>0.2</v>
      </c>
      <c r="J108" s="347"/>
      <c r="K108" s="347">
        <f t="shared" si="74"/>
        <v>1.7650000000000001</v>
      </c>
      <c r="L108" s="347"/>
      <c r="M108" s="347"/>
      <c r="N108" s="347"/>
      <c r="O108" s="350">
        <f t="shared" si="75"/>
        <v>0.8825000000000001</v>
      </c>
      <c r="P108" s="347"/>
      <c r="Q108" s="347"/>
      <c r="R108" s="347"/>
      <c r="S108" s="351"/>
      <c r="T108" s="347">
        <f t="shared" si="76"/>
        <v>1.059</v>
      </c>
      <c r="U108" s="347"/>
      <c r="V108" s="347"/>
      <c r="W108" s="347">
        <v>0.15</v>
      </c>
      <c r="X108" s="347">
        <f t="shared" si="81"/>
        <v>0.7942500000000001</v>
      </c>
      <c r="Y108" s="352">
        <f t="shared" si="79"/>
        <v>158787810.00000003</v>
      </c>
      <c r="Z108" s="318"/>
      <c r="AA108" s="316">
        <f t="shared" si="90"/>
        <v>10.496000000000002</v>
      </c>
      <c r="AB108" s="355">
        <v>3.99</v>
      </c>
      <c r="AC108" s="316">
        <f t="shared" si="84"/>
        <v>5.552000000000001</v>
      </c>
      <c r="AD108" s="316">
        <v>0.7</v>
      </c>
      <c r="AE108" s="356">
        <v>0.25</v>
      </c>
      <c r="AF108" s="316"/>
      <c r="AG108" s="316">
        <f t="shared" si="85"/>
        <v>2.12</v>
      </c>
      <c r="AH108" s="316"/>
      <c r="AI108" s="316"/>
      <c r="AJ108" s="316"/>
      <c r="AK108" s="357">
        <f t="shared" si="86"/>
        <v>1.06</v>
      </c>
      <c r="AL108" s="316"/>
      <c r="AM108" s="316"/>
      <c r="AN108" s="316"/>
      <c r="AO108" s="319"/>
      <c r="AP108" s="316">
        <f t="shared" si="87"/>
        <v>1.272</v>
      </c>
      <c r="AQ108" s="318"/>
      <c r="AR108" s="316">
        <v>0.15</v>
      </c>
      <c r="AS108" s="442">
        <f t="shared" si="88"/>
        <v>0.9540000000000001</v>
      </c>
      <c r="AT108" s="284">
        <f t="shared" si="89"/>
        <v>187668480.00000006</v>
      </c>
      <c r="AU108" s="15"/>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row>
    <row r="109" spans="1:75" ht="15.75">
      <c r="A109" s="346">
        <v>20</v>
      </c>
      <c r="B109" s="7" t="s">
        <v>100</v>
      </c>
      <c r="C109" s="417"/>
      <c r="D109" s="417"/>
      <c r="E109" s="347">
        <f t="shared" si="77"/>
        <v>8.13</v>
      </c>
      <c r="F109" s="348">
        <v>3</v>
      </c>
      <c r="G109" s="347">
        <f t="shared" si="78"/>
        <v>4.41</v>
      </c>
      <c r="H109" s="347">
        <v>0.7</v>
      </c>
      <c r="I109" s="347">
        <v>0.2</v>
      </c>
      <c r="J109" s="347"/>
      <c r="K109" s="347">
        <f t="shared" si="74"/>
        <v>1.6</v>
      </c>
      <c r="L109" s="347"/>
      <c r="M109" s="347"/>
      <c r="N109" s="347"/>
      <c r="O109" s="350">
        <f t="shared" si="75"/>
        <v>0.8</v>
      </c>
      <c r="P109" s="347"/>
      <c r="Q109" s="347"/>
      <c r="R109" s="347"/>
      <c r="S109" s="351"/>
      <c r="T109" s="347">
        <f t="shared" si="76"/>
        <v>0.96</v>
      </c>
      <c r="U109" s="347"/>
      <c r="V109" s="347"/>
      <c r="W109" s="347">
        <v>0.15</v>
      </c>
      <c r="X109" s="347">
        <f t="shared" si="81"/>
        <v>0.7200000000000001</v>
      </c>
      <c r="Y109" s="352">
        <f t="shared" si="79"/>
        <v>145364400.00000003</v>
      </c>
      <c r="Z109" s="318"/>
      <c r="AA109" s="316">
        <f t="shared" si="90"/>
        <v>9.790750000000001</v>
      </c>
      <c r="AB109" s="355">
        <v>3.33</v>
      </c>
      <c r="AC109" s="316">
        <f t="shared" si="84"/>
        <v>5.5765</v>
      </c>
      <c r="AD109" s="316">
        <v>0.7</v>
      </c>
      <c r="AE109" s="356">
        <v>0.6</v>
      </c>
      <c r="AF109" s="316"/>
      <c r="AG109" s="316">
        <f t="shared" si="85"/>
        <v>1.965</v>
      </c>
      <c r="AH109" s="316"/>
      <c r="AI109" s="316"/>
      <c r="AJ109" s="316"/>
      <c r="AK109" s="357">
        <f t="shared" si="86"/>
        <v>0.9825</v>
      </c>
      <c r="AL109" s="316"/>
      <c r="AM109" s="316"/>
      <c r="AN109" s="316"/>
      <c r="AO109" s="319"/>
      <c r="AP109" s="316">
        <f t="shared" si="87"/>
        <v>1.179</v>
      </c>
      <c r="AQ109" s="318"/>
      <c r="AR109" s="316">
        <v>0.15</v>
      </c>
      <c r="AS109" s="442">
        <f t="shared" si="88"/>
        <v>0.8842500000000001</v>
      </c>
      <c r="AT109" s="284">
        <f t="shared" si="89"/>
        <v>175058610.00000003</v>
      </c>
      <c r="AU109" s="15"/>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row>
    <row r="110" spans="1:75" ht="15.75">
      <c r="A110" s="346">
        <v>21</v>
      </c>
      <c r="B110" s="7" t="s">
        <v>99</v>
      </c>
      <c r="C110" s="417"/>
      <c r="D110" s="417"/>
      <c r="E110" s="347">
        <f t="shared" si="77"/>
        <v>7.12425</v>
      </c>
      <c r="F110" s="348">
        <v>2.67</v>
      </c>
      <c r="G110" s="347">
        <f t="shared" si="78"/>
        <v>3.8535</v>
      </c>
      <c r="H110" s="347">
        <v>0.7</v>
      </c>
      <c r="I110" s="347"/>
      <c r="J110" s="347"/>
      <c r="K110" s="347">
        <f t="shared" si="74"/>
        <v>1.335</v>
      </c>
      <c r="L110" s="347"/>
      <c r="M110" s="347"/>
      <c r="N110" s="347"/>
      <c r="O110" s="350">
        <f t="shared" si="75"/>
        <v>0.6675</v>
      </c>
      <c r="P110" s="347"/>
      <c r="Q110" s="347"/>
      <c r="R110" s="347"/>
      <c r="S110" s="351"/>
      <c r="T110" s="347">
        <f t="shared" si="76"/>
        <v>0.8009999999999999</v>
      </c>
      <c r="U110" s="347">
        <v>0.2</v>
      </c>
      <c r="V110" s="347"/>
      <c r="W110" s="347">
        <v>0.15</v>
      </c>
      <c r="X110" s="347">
        <f t="shared" si="81"/>
        <v>0.60075</v>
      </c>
      <c r="Y110" s="352">
        <f t="shared" si="79"/>
        <v>127381590</v>
      </c>
      <c r="Z110" s="313"/>
      <c r="AA110" s="316">
        <f t="shared" si="90"/>
        <v>6.924249999999999</v>
      </c>
      <c r="AB110" s="355">
        <v>2.67</v>
      </c>
      <c r="AC110" s="316">
        <f t="shared" si="84"/>
        <v>3.6534999999999997</v>
      </c>
      <c r="AD110" s="316">
        <v>0.7</v>
      </c>
      <c r="AE110" s="356"/>
      <c r="AF110" s="316"/>
      <c r="AG110" s="316">
        <f t="shared" si="85"/>
        <v>1.335</v>
      </c>
      <c r="AH110" s="316"/>
      <c r="AI110" s="316"/>
      <c r="AJ110" s="316"/>
      <c r="AK110" s="357">
        <f t="shared" si="86"/>
        <v>0.6675</v>
      </c>
      <c r="AL110" s="316"/>
      <c r="AM110" s="316"/>
      <c r="AN110" s="316"/>
      <c r="AO110" s="319"/>
      <c r="AP110" s="316">
        <f t="shared" si="87"/>
        <v>0.8009999999999999</v>
      </c>
      <c r="AQ110" s="313"/>
      <c r="AR110" s="316">
        <v>0.15</v>
      </c>
      <c r="AS110" s="442">
        <f t="shared" si="88"/>
        <v>0.60075</v>
      </c>
      <c r="AT110" s="284">
        <f t="shared" si="89"/>
        <v>123805589.99999997</v>
      </c>
      <c r="AU110" s="15"/>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row>
    <row r="111" spans="1:75" ht="15.75">
      <c r="A111" s="346">
        <v>22</v>
      </c>
      <c r="B111" s="7" t="s">
        <v>98</v>
      </c>
      <c r="C111" s="417"/>
      <c r="D111" s="417"/>
      <c r="E111" s="347">
        <f t="shared" si="77"/>
        <v>6.924249999999999</v>
      </c>
      <c r="F111" s="348">
        <v>2.67</v>
      </c>
      <c r="G111" s="347">
        <f t="shared" si="78"/>
        <v>3.6534999999999997</v>
      </c>
      <c r="H111" s="347">
        <v>0.7</v>
      </c>
      <c r="I111" s="347"/>
      <c r="J111" s="347"/>
      <c r="K111" s="347">
        <f t="shared" si="74"/>
        <v>1.335</v>
      </c>
      <c r="L111" s="347"/>
      <c r="M111" s="347"/>
      <c r="N111" s="347"/>
      <c r="O111" s="350">
        <f t="shared" si="75"/>
        <v>0.6675</v>
      </c>
      <c r="P111" s="347"/>
      <c r="Q111" s="347"/>
      <c r="R111" s="347"/>
      <c r="S111" s="351"/>
      <c r="T111" s="347">
        <f t="shared" si="76"/>
        <v>0.8009999999999999</v>
      </c>
      <c r="U111" s="347"/>
      <c r="V111" s="347"/>
      <c r="W111" s="347">
        <v>0.15</v>
      </c>
      <c r="X111" s="347">
        <f t="shared" si="81"/>
        <v>0.60075</v>
      </c>
      <c r="Y111" s="352">
        <f t="shared" si="79"/>
        <v>123805589.99999997</v>
      </c>
      <c r="Z111" s="313"/>
      <c r="AA111" s="316">
        <f t="shared" si="90"/>
        <v>10.60975</v>
      </c>
      <c r="AB111" s="355">
        <v>3.99</v>
      </c>
      <c r="AC111" s="316">
        <f t="shared" si="84"/>
        <v>5.6545000000000005</v>
      </c>
      <c r="AD111" s="316">
        <v>0.7</v>
      </c>
      <c r="AE111" s="356">
        <v>0.3</v>
      </c>
      <c r="AF111" s="316"/>
      <c r="AG111" s="316">
        <f t="shared" si="85"/>
        <v>2.145</v>
      </c>
      <c r="AH111" s="316"/>
      <c r="AI111" s="316"/>
      <c r="AJ111" s="316"/>
      <c r="AK111" s="357">
        <f t="shared" si="86"/>
        <v>1.0725</v>
      </c>
      <c r="AL111" s="316"/>
      <c r="AM111" s="316"/>
      <c r="AN111" s="316"/>
      <c r="AO111" s="319"/>
      <c r="AP111" s="316">
        <f t="shared" si="87"/>
        <v>1.287</v>
      </c>
      <c r="AQ111" s="313"/>
      <c r="AR111" s="316">
        <v>0.15</v>
      </c>
      <c r="AS111" s="442">
        <f t="shared" si="88"/>
        <v>0.96525</v>
      </c>
      <c r="AT111" s="284">
        <f t="shared" si="89"/>
        <v>189702330</v>
      </c>
      <c r="AU111" s="15"/>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row>
    <row r="112" spans="1:75" ht="15.75">
      <c r="A112" s="346">
        <v>23</v>
      </c>
      <c r="B112" s="7" t="s">
        <v>97</v>
      </c>
      <c r="C112" s="417"/>
      <c r="D112" s="417"/>
      <c r="E112" s="347">
        <f t="shared" si="77"/>
        <v>6.924249999999999</v>
      </c>
      <c r="F112" s="348">
        <v>2.67</v>
      </c>
      <c r="G112" s="347">
        <f t="shared" si="78"/>
        <v>3.6534999999999997</v>
      </c>
      <c r="H112" s="347">
        <v>0.7</v>
      </c>
      <c r="I112" s="347"/>
      <c r="J112" s="347"/>
      <c r="K112" s="347">
        <f t="shared" si="74"/>
        <v>1.335</v>
      </c>
      <c r="L112" s="347"/>
      <c r="M112" s="347"/>
      <c r="N112" s="347"/>
      <c r="O112" s="350">
        <f t="shared" si="75"/>
        <v>0.6675</v>
      </c>
      <c r="P112" s="347"/>
      <c r="Q112" s="347"/>
      <c r="R112" s="347"/>
      <c r="S112" s="351"/>
      <c r="T112" s="347">
        <f t="shared" si="76"/>
        <v>0.8009999999999999</v>
      </c>
      <c r="U112" s="347"/>
      <c r="V112" s="347"/>
      <c r="W112" s="347">
        <v>0.15</v>
      </c>
      <c r="X112" s="347">
        <f t="shared" si="81"/>
        <v>0.60075</v>
      </c>
      <c r="Y112" s="352">
        <f t="shared" si="79"/>
        <v>123805589.99999997</v>
      </c>
      <c r="Z112" s="354"/>
      <c r="AA112" s="316">
        <f t="shared" si="90"/>
        <v>11.883750000000001</v>
      </c>
      <c r="AB112" s="355">
        <v>4.65</v>
      </c>
      <c r="AC112" s="316">
        <f t="shared" si="84"/>
        <v>6.142500000000001</v>
      </c>
      <c r="AD112" s="316">
        <v>0.7</v>
      </c>
      <c r="AE112" s="356">
        <v>0.2</v>
      </c>
      <c r="AF112" s="316"/>
      <c r="AG112" s="316">
        <f t="shared" si="85"/>
        <v>2.4250000000000003</v>
      </c>
      <c r="AH112" s="316"/>
      <c r="AI112" s="316"/>
      <c r="AJ112" s="316"/>
      <c r="AK112" s="357">
        <f t="shared" si="86"/>
        <v>1.2125000000000001</v>
      </c>
      <c r="AL112" s="316"/>
      <c r="AM112" s="316"/>
      <c r="AN112" s="316"/>
      <c r="AO112" s="319"/>
      <c r="AP112" s="316">
        <f t="shared" si="87"/>
        <v>1.455</v>
      </c>
      <c r="AQ112" s="313"/>
      <c r="AR112" s="316">
        <v>0.15</v>
      </c>
      <c r="AS112" s="442">
        <f t="shared" si="88"/>
        <v>1.09125</v>
      </c>
      <c r="AT112" s="284">
        <f t="shared" si="89"/>
        <v>212481450</v>
      </c>
      <c r="AU112" s="15"/>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row>
    <row r="113" spans="1:75" ht="15.75">
      <c r="A113" s="346">
        <v>24</v>
      </c>
      <c r="B113" s="7" t="s">
        <v>96</v>
      </c>
      <c r="C113" s="417"/>
      <c r="D113" s="417"/>
      <c r="E113" s="347">
        <f t="shared" si="77"/>
        <v>6.173500000000001</v>
      </c>
      <c r="F113" s="348">
        <v>2.34</v>
      </c>
      <c r="G113" s="347">
        <f t="shared" si="78"/>
        <v>3.307</v>
      </c>
      <c r="H113" s="347">
        <v>0.7</v>
      </c>
      <c r="I113" s="347"/>
      <c r="J113" s="347"/>
      <c r="K113" s="347">
        <f t="shared" si="74"/>
        <v>1.17</v>
      </c>
      <c r="L113" s="347"/>
      <c r="M113" s="347"/>
      <c r="N113" s="347"/>
      <c r="O113" s="350">
        <f t="shared" si="75"/>
        <v>0.585</v>
      </c>
      <c r="P113" s="347"/>
      <c r="Q113" s="347"/>
      <c r="R113" s="347"/>
      <c r="S113" s="351"/>
      <c r="T113" s="347">
        <f t="shared" si="76"/>
        <v>0.702</v>
      </c>
      <c r="U113" s="347"/>
      <c r="V113" s="347"/>
      <c r="W113" s="347">
        <v>0.15</v>
      </c>
      <c r="X113" s="347">
        <f t="shared" si="81"/>
        <v>0.5265</v>
      </c>
      <c r="Y113" s="352">
        <f t="shared" si="79"/>
        <v>110382180.00000003</v>
      </c>
      <c r="Z113" s="354"/>
      <c r="AA113" s="316">
        <f t="shared" si="90"/>
        <v>8.88075</v>
      </c>
      <c r="AB113" s="355">
        <v>3.33</v>
      </c>
      <c r="AC113" s="316">
        <f t="shared" si="84"/>
        <v>4.756500000000001</v>
      </c>
      <c r="AD113" s="316">
        <v>0.7</v>
      </c>
      <c r="AE113" s="316">
        <v>0.2</v>
      </c>
      <c r="AF113" s="316"/>
      <c r="AG113" s="316">
        <f t="shared" si="85"/>
        <v>1.7650000000000001</v>
      </c>
      <c r="AH113" s="316"/>
      <c r="AI113" s="316"/>
      <c r="AJ113" s="316"/>
      <c r="AK113" s="357">
        <f t="shared" si="86"/>
        <v>0.8825000000000001</v>
      </c>
      <c r="AL113" s="316"/>
      <c r="AM113" s="316"/>
      <c r="AN113" s="316"/>
      <c r="AO113" s="319"/>
      <c r="AP113" s="316">
        <f t="shared" si="87"/>
        <v>1.059</v>
      </c>
      <c r="AQ113" s="318"/>
      <c r="AR113" s="316">
        <v>0.15</v>
      </c>
      <c r="AS113" s="442">
        <f t="shared" si="88"/>
        <v>0.7942500000000001</v>
      </c>
      <c r="AT113" s="284">
        <f t="shared" si="89"/>
        <v>158787810.00000003</v>
      </c>
      <c r="AU113" s="15"/>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row>
    <row r="114" spans="1:75" ht="15.75">
      <c r="A114" s="346">
        <v>25</v>
      </c>
      <c r="B114" s="7" t="s">
        <v>95</v>
      </c>
      <c r="C114" s="417"/>
      <c r="D114" s="417"/>
      <c r="E114" s="347">
        <f t="shared" si="77"/>
        <v>6.924249999999999</v>
      </c>
      <c r="F114" s="348">
        <v>2.67</v>
      </c>
      <c r="G114" s="347">
        <f t="shared" si="78"/>
        <v>3.6534999999999997</v>
      </c>
      <c r="H114" s="347">
        <v>0.7</v>
      </c>
      <c r="I114" s="347"/>
      <c r="J114" s="347"/>
      <c r="K114" s="347">
        <f t="shared" si="74"/>
        <v>1.335</v>
      </c>
      <c r="L114" s="347"/>
      <c r="M114" s="347"/>
      <c r="N114" s="347"/>
      <c r="O114" s="350">
        <f t="shared" si="75"/>
        <v>0.6675</v>
      </c>
      <c r="P114" s="347"/>
      <c r="Q114" s="347"/>
      <c r="R114" s="347"/>
      <c r="S114" s="351"/>
      <c r="T114" s="347">
        <f t="shared" si="76"/>
        <v>0.8009999999999999</v>
      </c>
      <c r="U114" s="347"/>
      <c r="V114" s="347"/>
      <c r="W114" s="347">
        <v>0.15</v>
      </c>
      <c r="X114" s="347">
        <f t="shared" si="81"/>
        <v>0.60075</v>
      </c>
      <c r="Y114" s="352">
        <f t="shared" si="79"/>
        <v>123805589.99999997</v>
      </c>
      <c r="Z114" s="358"/>
      <c r="AA114" s="359">
        <f t="shared" si="90"/>
        <v>10.56425</v>
      </c>
      <c r="AB114" s="360">
        <v>4.27</v>
      </c>
      <c r="AC114" s="316">
        <f t="shared" si="84"/>
        <v>5.3335</v>
      </c>
      <c r="AD114" s="359">
        <v>0.7</v>
      </c>
      <c r="AE114" s="359"/>
      <c r="AF114" s="359"/>
      <c r="AG114" s="359">
        <f t="shared" si="85"/>
        <v>2.135</v>
      </c>
      <c r="AH114" s="359"/>
      <c r="AI114" s="359"/>
      <c r="AJ114" s="359"/>
      <c r="AK114" s="361">
        <f t="shared" si="86"/>
        <v>1.0675</v>
      </c>
      <c r="AL114" s="359"/>
      <c r="AM114" s="359"/>
      <c r="AN114" s="359"/>
      <c r="AO114" s="362"/>
      <c r="AP114" s="359">
        <f t="shared" si="87"/>
        <v>1.281</v>
      </c>
      <c r="AQ114" s="363"/>
      <c r="AR114" s="316">
        <v>0.15</v>
      </c>
      <c r="AS114" s="442">
        <f t="shared" si="88"/>
        <v>0.9607499999999999</v>
      </c>
      <c r="AT114" s="284">
        <f t="shared" si="89"/>
        <v>188888790</v>
      </c>
      <c r="AU114" s="15"/>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row>
    <row r="115" spans="1:75" ht="15.75">
      <c r="A115" s="346">
        <v>26</v>
      </c>
      <c r="B115" s="7" t="s">
        <v>94</v>
      </c>
      <c r="C115" s="417"/>
      <c r="D115" s="417"/>
      <c r="E115" s="347">
        <f t="shared" si="77"/>
        <v>6.041499999999999</v>
      </c>
      <c r="F115" s="348">
        <v>2.26</v>
      </c>
      <c r="G115" s="347">
        <f t="shared" si="78"/>
        <v>3.2729999999999992</v>
      </c>
      <c r="H115" s="347">
        <v>0.7</v>
      </c>
      <c r="I115" s="347"/>
      <c r="J115" s="347"/>
      <c r="K115" s="347">
        <f t="shared" si="74"/>
        <v>1.13</v>
      </c>
      <c r="L115" s="347"/>
      <c r="M115" s="347"/>
      <c r="N115" s="347"/>
      <c r="O115" s="350">
        <f t="shared" si="75"/>
        <v>0.565</v>
      </c>
      <c r="P115" s="347"/>
      <c r="Q115" s="347"/>
      <c r="R115" s="347"/>
      <c r="S115" s="351"/>
      <c r="T115" s="347">
        <f t="shared" si="76"/>
        <v>0.6779999999999999</v>
      </c>
      <c r="U115" s="347">
        <v>0.05</v>
      </c>
      <c r="V115" s="347"/>
      <c r="W115" s="347">
        <v>0.15</v>
      </c>
      <c r="X115" s="347">
        <f t="shared" si="81"/>
        <v>0.5085</v>
      </c>
      <c r="Y115" s="352">
        <f t="shared" si="79"/>
        <v>108022019.99999997</v>
      </c>
      <c r="Z115" s="364"/>
      <c r="AA115" s="316">
        <f t="shared" si="90"/>
        <v>8.88075</v>
      </c>
      <c r="AB115" s="355">
        <v>3.33</v>
      </c>
      <c r="AC115" s="316">
        <f t="shared" si="84"/>
        <v>4.756500000000001</v>
      </c>
      <c r="AD115" s="316">
        <v>0.7</v>
      </c>
      <c r="AE115" s="316">
        <v>0.2</v>
      </c>
      <c r="AF115" s="316"/>
      <c r="AG115" s="316">
        <f t="shared" si="85"/>
        <v>1.7650000000000001</v>
      </c>
      <c r="AH115" s="316"/>
      <c r="AI115" s="316"/>
      <c r="AJ115" s="316"/>
      <c r="AK115" s="357">
        <f t="shared" si="86"/>
        <v>0.8825000000000001</v>
      </c>
      <c r="AL115" s="316"/>
      <c r="AM115" s="316"/>
      <c r="AN115" s="316"/>
      <c r="AO115" s="319"/>
      <c r="AP115" s="316">
        <f t="shared" si="87"/>
        <v>1.059</v>
      </c>
      <c r="AQ115" s="364"/>
      <c r="AR115" s="316">
        <v>0.15</v>
      </c>
      <c r="AS115" s="442">
        <f t="shared" si="88"/>
        <v>0.7942500000000001</v>
      </c>
      <c r="AT115" s="284">
        <f t="shared" si="89"/>
        <v>158787810.00000003</v>
      </c>
      <c r="AU115" s="15"/>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row>
    <row r="116" spans="1:75" ht="15.75">
      <c r="A116" s="346">
        <v>27</v>
      </c>
      <c r="B116" s="365" t="s">
        <v>93</v>
      </c>
      <c r="C116" s="417"/>
      <c r="D116" s="417"/>
      <c r="E116" s="347">
        <f t="shared" si="77"/>
        <v>6.173500000000001</v>
      </c>
      <c r="F116" s="348">
        <v>2.34</v>
      </c>
      <c r="G116" s="347">
        <f t="shared" si="78"/>
        <v>3.307</v>
      </c>
      <c r="H116" s="347">
        <v>0.7</v>
      </c>
      <c r="I116" s="347"/>
      <c r="J116" s="347"/>
      <c r="K116" s="347">
        <f t="shared" si="74"/>
        <v>1.17</v>
      </c>
      <c r="L116" s="347"/>
      <c r="M116" s="347"/>
      <c r="N116" s="347"/>
      <c r="O116" s="350">
        <f t="shared" si="75"/>
        <v>0.585</v>
      </c>
      <c r="P116" s="347"/>
      <c r="Q116" s="347"/>
      <c r="R116" s="347"/>
      <c r="S116" s="351"/>
      <c r="T116" s="347">
        <f t="shared" si="76"/>
        <v>0.702</v>
      </c>
      <c r="U116" s="347"/>
      <c r="V116" s="347"/>
      <c r="W116" s="347">
        <v>0.15</v>
      </c>
      <c r="X116" s="347">
        <f t="shared" si="81"/>
        <v>0.5265</v>
      </c>
      <c r="Y116" s="352">
        <f t="shared" si="79"/>
        <v>110382180.00000003</v>
      </c>
      <c r="Z116" s="364"/>
      <c r="AA116" s="316">
        <f t="shared" si="90"/>
        <v>8.13</v>
      </c>
      <c r="AB116" s="355">
        <v>3</v>
      </c>
      <c r="AC116" s="316">
        <f t="shared" si="84"/>
        <v>4.41</v>
      </c>
      <c r="AD116" s="316">
        <v>0.7</v>
      </c>
      <c r="AE116" s="316">
        <v>0.2</v>
      </c>
      <c r="AF116" s="316"/>
      <c r="AG116" s="316">
        <f t="shared" si="85"/>
        <v>1.6</v>
      </c>
      <c r="AH116" s="316"/>
      <c r="AI116" s="316"/>
      <c r="AJ116" s="316"/>
      <c r="AK116" s="357">
        <f t="shared" si="86"/>
        <v>0.8</v>
      </c>
      <c r="AL116" s="316"/>
      <c r="AM116" s="316"/>
      <c r="AN116" s="316"/>
      <c r="AO116" s="319"/>
      <c r="AP116" s="316">
        <f t="shared" si="87"/>
        <v>0.96</v>
      </c>
      <c r="AQ116" s="339"/>
      <c r="AR116" s="316">
        <v>0.15</v>
      </c>
      <c r="AS116" s="442">
        <f t="shared" si="88"/>
        <v>0.7200000000000001</v>
      </c>
      <c r="AT116" s="284">
        <f t="shared" si="89"/>
        <v>145364400.00000003</v>
      </c>
      <c r="AU116" s="15"/>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row>
    <row r="117" spans="1:75" ht="15.75">
      <c r="A117" s="346">
        <v>28</v>
      </c>
      <c r="B117" s="365" t="s">
        <v>92</v>
      </c>
      <c r="C117" s="417"/>
      <c r="D117" s="417"/>
      <c r="E117" s="347">
        <f t="shared" si="77"/>
        <v>6.173500000000001</v>
      </c>
      <c r="F117" s="348">
        <v>2.34</v>
      </c>
      <c r="G117" s="347">
        <f t="shared" si="78"/>
        <v>3.307</v>
      </c>
      <c r="H117" s="347">
        <v>0.7</v>
      </c>
      <c r="I117" s="347"/>
      <c r="J117" s="347"/>
      <c r="K117" s="347">
        <f t="shared" si="74"/>
        <v>1.17</v>
      </c>
      <c r="L117" s="347"/>
      <c r="M117" s="347"/>
      <c r="N117" s="347"/>
      <c r="O117" s="350">
        <f t="shared" si="75"/>
        <v>0.585</v>
      </c>
      <c r="P117" s="347"/>
      <c r="Q117" s="347"/>
      <c r="R117" s="347"/>
      <c r="S117" s="351"/>
      <c r="T117" s="347">
        <f t="shared" si="76"/>
        <v>0.702</v>
      </c>
      <c r="U117" s="347"/>
      <c r="V117" s="347"/>
      <c r="W117" s="347">
        <v>0.15</v>
      </c>
      <c r="X117" s="347">
        <f t="shared" si="81"/>
        <v>0.5265</v>
      </c>
      <c r="Y117" s="352">
        <f t="shared" si="79"/>
        <v>110382180.00000003</v>
      </c>
      <c r="Z117" s="364"/>
      <c r="AA117" s="316">
        <f t="shared" si="90"/>
        <v>7.12425</v>
      </c>
      <c r="AB117" s="355">
        <v>2.67</v>
      </c>
      <c r="AC117" s="316">
        <f t="shared" si="84"/>
        <v>3.8535</v>
      </c>
      <c r="AD117" s="316">
        <v>0.7</v>
      </c>
      <c r="AE117" s="316"/>
      <c r="AF117" s="316"/>
      <c r="AG117" s="316">
        <f t="shared" si="85"/>
        <v>1.335</v>
      </c>
      <c r="AH117" s="316"/>
      <c r="AI117" s="316"/>
      <c r="AJ117" s="316"/>
      <c r="AK117" s="357">
        <f t="shared" si="86"/>
        <v>0.6675</v>
      </c>
      <c r="AL117" s="316"/>
      <c r="AM117" s="316"/>
      <c r="AN117" s="316"/>
      <c r="AO117" s="319"/>
      <c r="AP117" s="316">
        <f t="shared" si="87"/>
        <v>0.8009999999999999</v>
      </c>
      <c r="AQ117" s="339"/>
      <c r="AR117" s="316">
        <f>0.2+0.15</f>
        <v>0.35</v>
      </c>
      <c r="AS117" s="442">
        <f t="shared" si="88"/>
        <v>0.60075</v>
      </c>
      <c r="AT117" s="284">
        <f>AA117*1490000*12</f>
        <v>127381590</v>
      </c>
      <c r="AU117" s="15"/>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row>
    <row r="118" spans="1:75" ht="15.75">
      <c r="A118" s="346">
        <v>29</v>
      </c>
      <c r="B118" s="366" t="s">
        <v>91</v>
      </c>
      <c r="C118" s="418"/>
      <c r="D118" s="418"/>
      <c r="E118" s="347">
        <f t="shared" si="77"/>
        <v>6.924249999999999</v>
      </c>
      <c r="F118" s="351">
        <v>2.67</v>
      </c>
      <c r="G118" s="347">
        <f t="shared" si="78"/>
        <v>3.6534999999999997</v>
      </c>
      <c r="H118" s="347">
        <v>0.7</v>
      </c>
      <c r="I118" s="347"/>
      <c r="J118" s="347"/>
      <c r="K118" s="347">
        <f>(F118+I118)*50%</f>
        <v>1.335</v>
      </c>
      <c r="L118" s="347"/>
      <c r="M118" s="347"/>
      <c r="N118" s="347"/>
      <c r="O118" s="367">
        <f>(F118+I118)*25%</f>
        <v>0.6675</v>
      </c>
      <c r="P118" s="347"/>
      <c r="Q118" s="347"/>
      <c r="R118" s="347"/>
      <c r="S118" s="351"/>
      <c r="T118" s="347">
        <f t="shared" si="76"/>
        <v>0.8009999999999999</v>
      </c>
      <c r="U118" s="347"/>
      <c r="V118" s="347"/>
      <c r="W118" s="347">
        <v>0.15</v>
      </c>
      <c r="X118" s="347">
        <f>(F118+I118)*22.5%</f>
        <v>0.60075</v>
      </c>
      <c r="Y118" s="352">
        <f t="shared" si="79"/>
        <v>123805589.99999997</v>
      </c>
      <c r="Z118" s="364"/>
      <c r="AA118" s="316">
        <f t="shared" si="90"/>
        <v>6.924249999999999</v>
      </c>
      <c r="AB118" s="355">
        <v>2.67</v>
      </c>
      <c r="AC118" s="316">
        <f t="shared" si="84"/>
        <v>3.6534999999999997</v>
      </c>
      <c r="AD118" s="316">
        <v>0.7</v>
      </c>
      <c r="AE118" s="316"/>
      <c r="AF118" s="316"/>
      <c r="AG118" s="316">
        <f t="shared" si="85"/>
        <v>1.335</v>
      </c>
      <c r="AH118" s="316"/>
      <c r="AI118" s="316"/>
      <c r="AJ118" s="316"/>
      <c r="AK118" s="357">
        <f t="shared" si="86"/>
        <v>0.6675</v>
      </c>
      <c r="AL118" s="316"/>
      <c r="AM118" s="316"/>
      <c r="AN118" s="316"/>
      <c r="AO118" s="319"/>
      <c r="AP118" s="316">
        <f t="shared" si="87"/>
        <v>0.8009999999999999</v>
      </c>
      <c r="AQ118" s="339"/>
      <c r="AR118" s="316">
        <v>0.15</v>
      </c>
      <c r="AS118" s="442">
        <f t="shared" si="88"/>
        <v>0.60075</v>
      </c>
      <c r="AT118" s="284">
        <f t="shared" si="89"/>
        <v>123805589.99999997</v>
      </c>
      <c r="AU118" s="462"/>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row>
    <row r="119" spans="1:75" ht="15.75">
      <c r="A119" s="346">
        <v>30</v>
      </c>
      <c r="B119" s="366" t="s">
        <v>90</v>
      </c>
      <c r="C119" s="418"/>
      <c r="D119" s="418"/>
      <c r="E119" s="347">
        <f t="shared" si="77"/>
        <v>6.9015</v>
      </c>
      <c r="F119" s="351">
        <v>2.66</v>
      </c>
      <c r="G119" s="347">
        <f t="shared" si="78"/>
        <v>3.6430000000000002</v>
      </c>
      <c r="H119" s="347">
        <v>0.7</v>
      </c>
      <c r="I119" s="347"/>
      <c r="J119" s="347"/>
      <c r="K119" s="347">
        <f>(F119+I119)*50%</f>
        <v>1.33</v>
      </c>
      <c r="L119" s="347"/>
      <c r="M119" s="347"/>
      <c r="N119" s="347"/>
      <c r="O119" s="367">
        <f>(F119+I119)*25%</f>
        <v>0.665</v>
      </c>
      <c r="P119" s="347"/>
      <c r="Q119" s="347"/>
      <c r="R119" s="347"/>
      <c r="S119" s="351"/>
      <c r="T119" s="347">
        <f t="shared" si="76"/>
        <v>0.798</v>
      </c>
      <c r="U119" s="347"/>
      <c r="V119" s="347"/>
      <c r="W119" s="347">
        <v>0.15</v>
      </c>
      <c r="X119" s="347">
        <f>(F119+I119)*22.5%</f>
        <v>0.5985</v>
      </c>
      <c r="Y119" s="352">
        <f>E119*1490000*12</f>
        <v>123398820</v>
      </c>
      <c r="Z119" s="364"/>
      <c r="AA119" s="316">
        <f t="shared" si="90"/>
        <v>6.924249999999999</v>
      </c>
      <c r="AB119" s="355">
        <v>2.67</v>
      </c>
      <c r="AC119" s="316">
        <f t="shared" si="84"/>
        <v>3.6534999999999997</v>
      </c>
      <c r="AD119" s="316">
        <v>0.7</v>
      </c>
      <c r="AE119" s="316"/>
      <c r="AF119" s="316"/>
      <c r="AG119" s="316">
        <f t="shared" si="85"/>
        <v>1.335</v>
      </c>
      <c r="AH119" s="316"/>
      <c r="AI119" s="316"/>
      <c r="AJ119" s="316"/>
      <c r="AK119" s="357">
        <f t="shared" si="86"/>
        <v>0.6675</v>
      </c>
      <c r="AL119" s="316"/>
      <c r="AM119" s="316"/>
      <c r="AN119" s="316"/>
      <c r="AO119" s="319"/>
      <c r="AP119" s="316">
        <f t="shared" si="87"/>
        <v>0.8009999999999999</v>
      </c>
      <c r="AQ119" s="339"/>
      <c r="AR119" s="316">
        <v>0.15</v>
      </c>
      <c r="AS119" s="442">
        <f t="shared" si="88"/>
        <v>0.60075</v>
      </c>
      <c r="AT119" s="284">
        <f t="shared" si="89"/>
        <v>123805589.99999997</v>
      </c>
      <c r="AU119" s="462"/>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row>
    <row r="120" spans="1:75" ht="15.75">
      <c r="A120" s="346">
        <v>31</v>
      </c>
      <c r="B120" s="7" t="s">
        <v>89</v>
      </c>
      <c r="C120" s="417"/>
      <c r="D120" s="417"/>
      <c r="E120" s="347">
        <f t="shared" si="77"/>
        <v>17.198999999999998</v>
      </c>
      <c r="F120" s="348">
        <f>6*2.34</f>
        <v>14.04</v>
      </c>
      <c r="G120" s="347">
        <f t="shared" si="78"/>
        <v>0</v>
      </c>
      <c r="H120" s="347"/>
      <c r="I120" s="347"/>
      <c r="J120" s="347"/>
      <c r="K120" s="347"/>
      <c r="L120" s="347"/>
      <c r="M120" s="347"/>
      <c r="N120" s="347"/>
      <c r="O120" s="350"/>
      <c r="P120" s="347"/>
      <c r="Q120" s="347"/>
      <c r="R120" s="347"/>
      <c r="S120" s="351"/>
      <c r="T120" s="347"/>
      <c r="U120" s="347"/>
      <c r="V120" s="347"/>
      <c r="W120" s="347"/>
      <c r="X120" s="347">
        <f>(F120+I120+J120)*22.5%</f>
        <v>3.159</v>
      </c>
      <c r="Y120" s="352">
        <f t="shared" si="79"/>
        <v>307518119.99999994</v>
      </c>
      <c r="Z120" s="364"/>
      <c r="AA120" s="316">
        <f t="shared" si="90"/>
        <v>6.173500000000001</v>
      </c>
      <c r="AB120" s="355">
        <v>2.34</v>
      </c>
      <c r="AC120" s="316">
        <f t="shared" si="84"/>
        <v>3.307</v>
      </c>
      <c r="AD120" s="316">
        <v>0.7</v>
      </c>
      <c r="AE120" s="316"/>
      <c r="AF120" s="316"/>
      <c r="AG120" s="316">
        <f t="shared" si="85"/>
        <v>1.17</v>
      </c>
      <c r="AH120" s="316"/>
      <c r="AI120" s="316"/>
      <c r="AJ120" s="316"/>
      <c r="AK120" s="357">
        <f t="shared" si="86"/>
        <v>0.585</v>
      </c>
      <c r="AL120" s="316"/>
      <c r="AM120" s="316"/>
      <c r="AN120" s="316"/>
      <c r="AO120" s="319"/>
      <c r="AP120" s="316">
        <f t="shared" si="87"/>
        <v>0.702</v>
      </c>
      <c r="AQ120" s="339"/>
      <c r="AR120" s="316">
        <v>0.15</v>
      </c>
      <c r="AS120" s="442">
        <f t="shared" si="88"/>
        <v>0.5265</v>
      </c>
      <c r="AT120" s="284">
        <f t="shared" si="89"/>
        <v>110382180.00000003</v>
      </c>
      <c r="AU120" s="15"/>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row>
    <row r="121" spans="1:75" ht="15.75">
      <c r="A121" s="286" t="s">
        <v>88</v>
      </c>
      <c r="B121" s="287" t="s">
        <v>87</v>
      </c>
      <c r="C121" s="415"/>
      <c r="D121" s="415"/>
      <c r="E121" s="269">
        <f aca="true" t="shared" si="91" ref="E121:Y121">SUM(E122:E123)</f>
        <v>0</v>
      </c>
      <c r="F121" s="269">
        <f t="shared" si="91"/>
        <v>0</v>
      </c>
      <c r="G121" s="269">
        <f t="shared" si="91"/>
        <v>0</v>
      </c>
      <c r="H121" s="269">
        <f t="shared" si="91"/>
        <v>0</v>
      </c>
      <c r="I121" s="269">
        <f t="shared" si="91"/>
        <v>0</v>
      </c>
      <c r="J121" s="269">
        <f t="shared" si="91"/>
        <v>0</v>
      </c>
      <c r="K121" s="269">
        <f t="shared" si="91"/>
        <v>0</v>
      </c>
      <c r="L121" s="269">
        <f t="shared" si="91"/>
        <v>0</v>
      </c>
      <c r="M121" s="269">
        <f t="shared" si="91"/>
        <v>0</v>
      </c>
      <c r="N121" s="269">
        <f t="shared" si="91"/>
        <v>0</v>
      </c>
      <c r="O121" s="269">
        <f t="shared" si="91"/>
        <v>0</v>
      </c>
      <c r="P121" s="269">
        <f t="shared" si="91"/>
        <v>0</v>
      </c>
      <c r="Q121" s="269">
        <f t="shared" si="91"/>
        <v>0</v>
      </c>
      <c r="R121" s="269">
        <f t="shared" si="91"/>
        <v>0</v>
      </c>
      <c r="S121" s="269">
        <f t="shared" si="91"/>
        <v>0</v>
      </c>
      <c r="T121" s="269">
        <f t="shared" si="91"/>
        <v>0</v>
      </c>
      <c r="U121" s="269">
        <f t="shared" si="91"/>
        <v>0</v>
      </c>
      <c r="V121" s="269">
        <f t="shared" si="91"/>
        <v>0</v>
      </c>
      <c r="W121" s="269">
        <f t="shared" si="91"/>
        <v>0</v>
      </c>
      <c r="X121" s="269">
        <f t="shared" si="91"/>
        <v>0</v>
      </c>
      <c r="Y121" s="269">
        <f t="shared" si="91"/>
        <v>0</v>
      </c>
      <c r="Z121" s="364"/>
      <c r="AA121" s="316">
        <f t="shared" si="90"/>
        <v>6.924249999999999</v>
      </c>
      <c r="AB121" s="355">
        <v>2.67</v>
      </c>
      <c r="AC121" s="316">
        <f t="shared" si="84"/>
        <v>3.6534999999999997</v>
      </c>
      <c r="AD121" s="316">
        <v>0.7</v>
      </c>
      <c r="AE121" s="316"/>
      <c r="AF121" s="316"/>
      <c r="AG121" s="316">
        <f t="shared" si="85"/>
        <v>1.335</v>
      </c>
      <c r="AH121" s="316"/>
      <c r="AI121" s="316"/>
      <c r="AJ121" s="316"/>
      <c r="AK121" s="357">
        <f t="shared" si="86"/>
        <v>0.6675</v>
      </c>
      <c r="AL121" s="316"/>
      <c r="AM121" s="316"/>
      <c r="AN121" s="316"/>
      <c r="AO121" s="319"/>
      <c r="AP121" s="316">
        <f t="shared" si="87"/>
        <v>0.8009999999999999</v>
      </c>
      <c r="AQ121" s="339"/>
      <c r="AR121" s="316">
        <v>0.15</v>
      </c>
      <c r="AS121" s="442">
        <f t="shared" si="88"/>
        <v>0.60075</v>
      </c>
      <c r="AT121" s="284">
        <f t="shared" si="89"/>
        <v>123805589.99999997</v>
      </c>
      <c r="AU121" s="14"/>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row>
    <row r="122" spans="1:75" ht="15.75">
      <c r="A122" s="368">
        <v>1</v>
      </c>
      <c r="B122" s="12" t="s">
        <v>86</v>
      </c>
      <c r="C122" s="419"/>
      <c r="D122" s="419"/>
      <c r="E122" s="274">
        <f>F122+G122+X122</f>
        <v>0</v>
      </c>
      <c r="F122" s="276"/>
      <c r="G122" s="274">
        <f>H122+I122+J122+K122+L122+M122+N122+O122+P122+Q122+R122+S122+T122+U122+W122</f>
        <v>0</v>
      </c>
      <c r="H122" s="269"/>
      <c r="I122" s="269"/>
      <c r="J122" s="269"/>
      <c r="K122" s="269"/>
      <c r="L122" s="269"/>
      <c r="M122" s="269"/>
      <c r="N122" s="269"/>
      <c r="O122" s="269"/>
      <c r="P122" s="269"/>
      <c r="Q122" s="269"/>
      <c r="R122" s="274"/>
      <c r="S122" s="276"/>
      <c r="T122" s="269"/>
      <c r="U122" s="269"/>
      <c r="V122" s="269"/>
      <c r="W122" s="269"/>
      <c r="X122" s="269"/>
      <c r="Y122" s="277">
        <f>E122*1490000*12</f>
        <v>0</v>
      </c>
      <c r="Z122" s="369"/>
      <c r="AA122" s="316">
        <f t="shared" si="90"/>
        <v>6.041499999999999</v>
      </c>
      <c r="AB122" s="355">
        <v>2.26</v>
      </c>
      <c r="AC122" s="316">
        <f t="shared" si="84"/>
        <v>3.2729999999999997</v>
      </c>
      <c r="AD122" s="316">
        <v>0.7</v>
      </c>
      <c r="AE122" s="316"/>
      <c r="AF122" s="316"/>
      <c r="AG122" s="316">
        <f t="shared" si="85"/>
        <v>1.13</v>
      </c>
      <c r="AH122" s="316"/>
      <c r="AI122" s="316"/>
      <c r="AJ122" s="316"/>
      <c r="AK122" s="357">
        <f t="shared" si="86"/>
        <v>0.565</v>
      </c>
      <c r="AL122" s="316"/>
      <c r="AM122" s="316"/>
      <c r="AN122" s="316"/>
      <c r="AO122" s="319"/>
      <c r="AP122" s="316">
        <f t="shared" si="87"/>
        <v>0.6779999999999999</v>
      </c>
      <c r="AQ122" s="369"/>
      <c r="AR122" s="316">
        <f>0.05+0.15</f>
        <v>0.2</v>
      </c>
      <c r="AS122" s="442">
        <f t="shared" si="88"/>
        <v>0.5085</v>
      </c>
      <c r="AT122" s="284">
        <f t="shared" si="89"/>
        <v>108022019.99999997</v>
      </c>
      <c r="AU122" s="9"/>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row>
    <row r="123" spans="1:75" ht="15.75">
      <c r="A123" s="370">
        <v>2</v>
      </c>
      <c r="B123" s="337" t="s">
        <v>61</v>
      </c>
      <c r="C123" s="420"/>
      <c r="D123" s="420"/>
      <c r="E123" s="274">
        <f>F123+G123+X123</f>
        <v>0</v>
      </c>
      <c r="F123" s="371"/>
      <c r="G123" s="274">
        <f>H123+I123+J123+K123+L123+M123+N123+O123+P123+Q123+R123+S123+T123+U123+W123</f>
        <v>0</v>
      </c>
      <c r="H123" s="274"/>
      <c r="I123" s="274"/>
      <c r="J123" s="274"/>
      <c r="K123" s="274"/>
      <c r="L123" s="274"/>
      <c r="M123" s="274"/>
      <c r="N123" s="274"/>
      <c r="O123" s="315"/>
      <c r="P123" s="274"/>
      <c r="Q123" s="274"/>
      <c r="R123" s="274"/>
      <c r="S123" s="275"/>
      <c r="T123" s="274"/>
      <c r="U123" s="274"/>
      <c r="V123" s="274"/>
      <c r="W123" s="274"/>
      <c r="X123" s="274"/>
      <c r="Y123" s="277">
        <f>E123*1490000*12</f>
        <v>0</v>
      </c>
      <c r="Z123" s="369"/>
      <c r="AA123" s="316">
        <f t="shared" si="90"/>
        <v>6.173500000000001</v>
      </c>
      <c r="AB123" s="355">
        <v>2.34</v>
      </c>
      <c r="AC123" s="316">
        <f t="shared" si="84"/>
        <v>3.307</v>
      </c>
      <c r="AD123" s="316">
        <v>0.7</v>
      </c>
      <c r="AE123" s="316"/>
      <c r="AF123" s="316"/>
      <c r="AG123" s="316">
        <f t="shared" si="85"/>
        <v>1.17</v>
      </c>
      <c r="AH123" s="316"/>
      <c r="AI123" s="316"/>
      <c r="AJ123" s="316"/>
      <c r="AK123" s="357">
        <f t="shared" si="86"/>
        <v>0.585</v>
      </c>
      <c r="AL123" s="316"/>
      <c r="AM123" s="316"/>
      <c r="AN123" s="316"/>
      <c r="AO123" s="319"/>
      <c r="AP123" s="316">
        <f t="shared" si="87"/>
        <v>0.702</v>
      </c>
      <c r="AQ123" s="369"/>
      <c r="AR123" s="316">
        <v>0.15</v>
      </c>
      <c r="AS123" s="442">
        <f t="shared" si="88"/>
        <v>0.5265</v>
      </c>
      <c r="AT123" s="284">
        <f t="shared" si="89"/>
        <v>110382180.00000003</v>
      </c>
      <c r="AU123" s="9"/>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row>
    <row r="124" spans="1:75" ht="15.75">
      <c r="A124" s="370" t="s">
        <v>85</v>
      </c>
      <c r="B124" s="266" t="s">
        <v>84</v>
      </c>
      <c r="C124" s="415">
        <f aca="true" t="shared" si="92" ref="C124:Y124">C125+C130+C134+C137+C141</f>
        <v>12</v>
      </c>
      <c r="D124" s="415">
        <f t="shared" si="92"/>
        <v>11</v>
      </c>
      <c r="E124" s="269">
        <f t="shared" si="92"/>
        <v>103.44330000000002</v>
      </c>
      <c r="F124" s="269">
        <f t="shared" si="92"/>
        <v>38.91</v>
      </c>
      <c r="G124" s="269">
        <f t="shared" si="92"/>
        <v>55.119</v>
      </c>
      <c r="H124" s="269">
        <f t="shared" si="92"/>
        <v>8.399999999999999</v>
      </c>
      <c r="I124" s="269">
        <f t="shared" si="92"/>
        <v>2.55</v>
      </c>
      <c r="J124" s="269">
        <f t="shared" si="92"/>
        <v>0</v>
      </c>
      <c r="K124" s="269">
        <f t="shared" si="92"/>
        <v>20.73</v>
      </c>
      <c r="L124" s="269">
        <f t="shared" si="92"/>
        <v>0</v>
      </c>
      <c r="M124" s="269">
        <f t="shared" si="92"/>
        <v>0</v>
      </c>
      <c r="N124" s="269">
        <f t="shared" si="92"/>
        <v>0</v>
      </c>
      <c r="O124" s="269">
        <f t="shared" si="92"/>
        <v>10.365</v>
      </c>
      <c r="P124" s="269">
        <f t="shared" si="92"/>
        <v>0</v>
      </c>
      <c r="Q124" s="269">
        <f t="shared" si="92"/>
        <v>0</v>
      </c>
      <c r="R124" s="269">
        <f t="shared" si="92"/>
        <v>0</v>
      </c>
      <c r="S124" s="269">
        <f t="shared" si="92"/>
        <v>0</v>
      </c>
      <c r="T124" s="269">
        <f t="shared" si="92"/>
        <v>12.437999999999999</v>
      </c>
      <c r="U124" s="269">
        <f t="shared" si="92"/>
        <v>0</v>
      </c>
      <c r="V124" s="269">
        <f t="shared" si="92"/>
        <v>0.636</v>
      </c>
      <c r="W124" s="269">
        <f t="shared" si="92"/>
        <v>0</v>
      </c>
      <c r="X124" s="269">
        <f t="shared" si="92"/>
        <v>9.414300000000003</v>
      </c>
      <c r="Y124" s="269">
        <f t="shared" si="92"/>
        <v>1849566204</v>
      </c>
      <c r="Z124" s="369"/>
      <c r="AA124" s="316">
        <f t="shared" si="90"/>
        <v>6.173500000000001</v>
      </c>
      <c r="AB124" s="355">
        <v>2.34</v>
      </c>
      <c r="AC124" s="316">
        <f t="shared" si="84"/>
        <v>3.307</v>
      </c>
      <c r="AD124" s="316">
        <v>0.7</v>
      </c>
      <c r="AE124" s="316"/>
      <c r="AF124" s="316"/>
      <c r="AG124" s="316">
        <f t="shared" si="85"/>
        <v>1.17</v>
      </c>
      <c r="AH124" s="316"/>
      <c r="AI124" s="316"/>
      <c r="AJ124" s="316"/>
      <c r="AK124" s="357">
        <f t="shared" si="86"/>
        <v>0.585</v>
      </c>
      <c r="AL124" s="316"/>
      <c r="AM124" s="316"/>
      <c r="AN124" s="316"/>
      <c r="AO124" s="319"/>
      <c r="AP124" s="316">
        <f t="shared" si="87"/>
        <v>0.702</v>
      </c>
      <c r="AQ124" s="369"/>
      <c r="AR124" s="316">
        <v>0.15</v>
      </c>
      <c r="AS124" s="442">
        <f t="shared" si="88"/>
        <v>0.5265</v>
      </c>
      <c r="AT124" s="284">
        <f t="shared" si="89"/>
        <v>110382180.00000003</v>
      </c>
      <c r="AU124" s="9"/>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row>
    <row r="125" spans="1:75" ht="15.75">
      <c r="A125" s="370" t="s">
        <v>83</v>
      </c>
      <c r="B125" s="266" t="s">
        <v>82</v>
      </c>
      <c r="C125" s="419">
        <v>4</v>
      </c>
      <c r="D125" s="419">
        <v>4</v>
      </c>
      <c r="E125" s="269">
        <f aca="true" t="shared" si="93" ref="E125:X125">SUM(E126:E129)</f>
        <v>40.19415</v>
      </c>
      <c r="F125" s="269">
        <f t="shared" si="93"/>
        <v>15.18</v>
      </c>
      <c r="G125" s="269">
        <f t="shared" si="93"/>
        <v>21.322499999999998</v>
      </c>
      <c r="H125" s="269">
        <f t="shared" si="93"/>
        <v>2.8</v>
      </c>
      <c r="I125" s="269">
        <f t="shared" si="93"/>
        <v>0.9500000000000001</v>
      </c>
      <c r="J125" s="269">
        <f t="shared" si="93"/>
        <v>0</v>
      </c>
      <c r="K125" s="269">
        <f t="shared" si="93"/>
        <v>8.065000000000001</v>
      </c>
      <c r="L125" s="269">
        <f t="shared" si="93"/>
        <v>0</v>
      </c>
      <c r="M125" s="269">
        <f t="shared" si="93"/>
        <v>0</v>
      </c>
      <c r="N125" s="269">
        <f t="shared" si="93"/>
        <v>0</v>
      </c>
      <c r="O125" s="269">
        <f t="shared" si="93"/>
        <v>4.032500000000001</v>
      </c>
      <c r="P125" s="269">
        <f t="shared" si="93"/>
        <v>0</v>
      </c>
      <c r="Q125" s="269">
        <f t="shared" si="93"/>
        <v>0</v>
      </c>
      <c r="R125" s="269">
        <f t="shared" si="93"/>
        <v>0</v>
      </c>
      <c r="S125" s="269">
        <f t="shared" si="93"/>
        <v>0</v>
      </c>
      <c r="T125" s="269">
        <f t="shared" si="93"/>
        <v>4.8389999999999995</v>
      </c>
      <c r="U125" s="269">
        <f t="shared" si="93"/>
        <v>0</v>
      </c>
      <c r="V125" s="269">
        <f t="shared" si="93"/>
        <v>0.636</v>
      </c>
      <c r="W125" s="269">
        <f t="shared" si="93"/>
        <v>0</v>
      </c>
      <c r="X125" s="269">
        <f t="shared" si="93"/>
        <v>3.69165</v>
      </c>
      <c r="Y125" s="270">
        <f>ROUNDUP(SUM(Y126:Y129),0)</f>
        <v>718671402</v>
      </c>
      <c r="Z125" s="369"/>
      <c r="AA125" s="316">
        <f t="shared" si="90"/>
        <v>6.924249999999999</v>
      </c>
      <c r="AB125" s="319">
        <v>2.67</v>
      </c>
      <c r="AC125" s="316">
        <f t="shared" si="84"/>
        <v>3.6534999999999997</v>
      </c>
      <c r="AD125" s="316">
        <v>0.7</v>
      </c>
      <c r="AE125" s="316"/>
      <c r="AF125" s="316"/>
      <c r="AG125" s="316">
        <f>(AB125+AE125)*50%</f>
        <v>1.335</v>
      </c>
      <c r="AH125" s="316"/>
      <c r="AI125" s="316"/>
      <c r="AJ125" s="316"/>
      <c r="AK125" s="317">
        <f>(AB125+AE125)*25%</f>
        <v>0.6675</v>
      </c>
      <c r="AL125" s="316"/>
      <c r="AM125" s="316"/>
      <c r="AN125" s="316"/>
      <c r="AO125" s="319"/>
      <c r="AP125" s="316">
        <f t="shared" si="87"/>
        <v>0.8009999999999999</v>
      </c>
      <c r="AQ125" s="369"/>
      <c r="AR125" s="316">
        <v>0.15</v>
      </c>
      <c r="AS125" s="442">
        <f t="shared" si="88"/>
        <v>0.60075</v>
      </c>
      <c r="AT125" s="284">
        <f t="shared" si="89"/>
        <v>123805589.99999997</v>
      </c>
      <c r="AU125" s="9"/>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row>
    <row r="126" spans="1:75" ht="15.75">
      <c r="A126" s="372">
        <v>1</v>
      </c>
      <c r="B126" s="373" t="s">
        <v>81</v>
      </c>
      <c r="C126" s="417"/>
      <c r="D126" s="417"/>
      <c r="E126" s="347">
        <f>F126+G126+X126</f>
        <v>15.804999999999998</v>
      </c>
      <c r="F126" s="374">
        <v>5.76</v>
      </c>
      <c r="G126" s="347">
        <f>SUM(H126:W126)</f>
        <v>8.613999999999999</v>
      </c>
      <c r="H126" s="347">
        <v>0.7</v>
      </c>
      <c r="I126" s="347">
        <v>0.6</v>
      </c>
      <c r="J126" s="347"/>
      <c r="K126" s="347">
        <f>(F126+I126+J126)*0.5</f>
        <v>3.1799999999999997</v>
      </c>
      <c r="L126" s="347"/>
      <c r="M126" s="347"/>
      <c r="N126" s="347"/>
      <c r="O126" s="347">
        <f>(F126+I126+J126)*0.25</f>
        <v>1.5899999999999999</v>
      </c>
      <c r="P126" s="347"/>
      <c r="Q126" s="347"/>
      <c r="R126" s="347"/>
      <c r="S126" s="351"/>
      <c r="T126" s="347">
        <f>(F126+I126+J126)*30%</f>
        <v>1.9079999999999997</v>
      </c>
      <c r="U126" s="347"/>
      <c r="V126" s="347">
        <f>0.1*(F126+I126)</f>
        <v>0.636</v>
      </c>
      <c r="W126" s="347"/>
      <c r="X126" s="347">
        <f>(F126+I126+J126+M126)*0.225</f>
        <v>1.4309999999999998</v>
      </c>
      <c r="Y126" s="352">
        <f>E126*1490000*12</f>
        <v>282593399.99999994</v>
      </c>
      <c r="Z126" s="369"/>
      <c r="AA126" s="316">
        <f t="shared" si="90"/>
        <v>6.9015</v>
      </c>
      <c r="AB126" s="319">
        <v>2.66</v>
      </c>
      <c r="AC126" s="316">
        <f t="shared" si="84"/>
        <v>3.6430000000000002</v>
      </c>
      <c r="AD126" s="316">
        <v>0.7</v>
      </c>
      <c r="AE126" s="316"/>
      <c r="AF126" s="316"/>
      <c r="AG126" s="316">
        <f>(AB126+AE126)*50%</f>
        <v>1.33</v>
      </c>
      <c r="AH126" s="316"/>
      <c r="AI126" s="316"/>
      <c r="AJ126" s="316"/>
      <c r="AK126" s="317">
        <f>(AB126+AE126)*25%</f>
        <v>0.665</v>
      </c>
      <c r="AL126" s="316"/>
      <c r="AM126" s="316"/>
      <c r="AN126" s="316"/>
      <c r="AO126" s="319"/>
      <c r="AP126" s="316">
        <f t="shared" si="87"/>
        <v>0.798</v>
      </c>
      <c r="AQ126" s="369"/>
      <c r="AR126" s="316">
        <v>0.15</v>
      </c>
      <c r="AS126" s="442">
        <f t="shared" si="88"/>
        <v>0.5985</v>
      </c>
      <c r="AT126" s="284">
        <f>AA126*1490000*5</f>
        <v>51416175</v>
      </c>
      <c r="AU126" s="15"/>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row>
    <row r="127" spans="1:75" ht="15.75">
      <c r="A127" s="372">
        <v>2</v>
      </c>
      <c r="B127" s="373" t="s">
        <v>80</v>
      </c>
      <c r="C127" s="417"/>
      <c r="D127" s="417"/>
      <c r="E127" s="347">
        <f>F127+G127+X127</f>
        <v>8.73075</v>
      </c>
      <c r="F127" s="374">
        <v>3.33</v>
      </c>
      <c r="G127" s="347">
        <f>SUM(H127:W127)</f>
        <v>4.6065000000000005</v>
      </c>
      <c r="H127" s="347">
        <v>0.7</v>
      </c>
      <c r="I127" s="347">
        <v>0.2</v>
      </c>
      <c r="J127" s="347"/>
      <c r="K127" s="347">
        <f>(F127+I127+J127)*0.5</f>
        <v>1.7650000000000001</v>
      </c>
      <c r="L127" s="347"/>
      <c r="M127" s="347"/>
      <c r="N127" s="347"/>
      <c r="O127" s="347">
        <f>(F127+I127+J127)*0.25</f>
        <v>0.8825000000000001</v>
      </c>
      <c r="P127" s="347"/>
      <c r="Q127" s="347"/>
      <c r="R127" s="347"/>
      <c r="S127" s="351"/>
      <c r="T127" s="347">
        <f>(F127+I127+J127)*30%</f>
        <v>1.059</v>
      </c>
      <c r="U127" s="347"/>
      <c r="V127" s="347"/>
      <c r="W127" s="347"/>
      <c r="X127" s="347">
        <f>(F127+I127+J127+M127)*0.225</f>
        <v>0.7942500000000001</v>
      </c>
      <c r="Y127" s="352">
        <f>E127*1490000*12</f>
        <v>156105810</v>
      </c>
      <c r="Z127" s="375"/>
      <c r="AA127" s="359">
        <f>AB127+AC127+AS127</f>
        <v>7.356499999999999</v>
      </c>
      <c r="AB127" s="362">
        <v>2.86</v>
      </c>
      <c r="AC127" s="359">
        <f>SUM(AD127:AR127)</f>
        <v>3.8529999999999998</v>
      </c>
      <c r="AD127" s="359">
        <v>0.7</v>
      </c>
      <c r="AE127" s="359"/>
      <c r="AF127" s="359"/>
      <c r="AG127" s="359">
        <f>(AB127+AE127)*50%</f>
        <v>1.43</v>
      </c>
      <c r="AH127" s="359"/>
      <c r="AI127" s="359"/>
      <c r="AJ127" s="359"/>
      <c r="AK127" s="376">
        <f>(AB127+AE127)*25%</f>
        <v>0.715</v>
      </c>
      <c r="AL127" s="359"/>
      <c r="AM127" s="359"/>
      <c r="AN127" s="359"/>
      <c r="AO127" s="362"/>
      <c r="AP127" s="359">
        <f>(AB127+AE127+AF127)*30%</f>
        <v>0.858</v>
      </c>
      <c r="AQ127" s="375"/>
      <c r="AR127" s="359">
        <v>0.15</v>
      </c>
      <c r="AS127" s="444">
        <f>(AB127+AE127)*22.5%</f>
        <v>0.6435</v>
      </c>
      <c r="AT127" s="284">
        <f>AA127*1490000*7</f>
        <v>76728294.99999999</v>
      </c>
      <c r="AU127" s="15"/>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row>
    <row r="128" spans="1:75" ht="15.75">
      <c r="A128" s="372">
        <v>3</v>
      </c>
      <c r="B128" s="373" t="s">
        <v>79</v>
      </c>
      <c r="C128" s="417"/>
      <c r="D128" s="417"/>
      <c r="E128" s="347">
        <f>F128+G128+X128</f>
        <v>5.4985</v>
      </c>
      <c r="F128" s="374">
        <v>2.1</v>
      </c>
      <c r="G128" s="347">
        <f>SUM(H128:W128)</f>
        <v>2.905</v>
      </c>
      <c r="H128" s="347">
        <v>0.7</v>
      </c>
      <c r="I128" s="347"/>
      <c r="J128" s="347"/>
      <c r="K128" s="347">
        <f>(F128+I128+J128)*0.5</f>
        <v>1.05</v>
      </c>
      <c r="L128" s="347"/>
      <c r="M128" s="347"/>
      <c r="N128" s="347"/>
      <c r="O128" s="347">
        <f>(F128+I128+J128)*0.25</f>
        <v>0.525</v>
      </c>
      <c r="P128" s="347"/>
      <c r="Q128" s="347"/>
      <c r="R128" s="347"/>
      <c r="S128" s="351"/>
      <c r="T128" s="347">
        <f>(F128+I128+J128)*30%</f>
        <v>0.63</v>
      </c>
      <c r="U128" s="347"/>
      <c r="V128" s="347"/>
      <c r="W128" s="347"/>
      <c r="X128" s="347">
        <f>(F128+I128+J128+M128)*0.235</f>
        <v>0.4935</v>
      </c>
      <c r="Y128" s="352">
        <f>E128*1490000*12</f>
        <v>98313180</v>
      </c>
      <c r="Z128" s="369"/>
      <c r="AA128" s="316">
        <f t="shared" si="90"/>
        <v>17.198999999999998</v>
      </c>
      <c r="AB128" s="355">
        <f>6*2.34</f>
        <v>14.04</v>
      </c>
      <c r="AC128" s="316">
        <f t="shared" si="84"/>
        <v>0</v>
      </c>
      <c r="AD128" s="316"/>
      <c r="AE128" s="316"/>
      <c r="AF128" s="316"/>
      <c r="AG128" s="316"/>
      <c r="AH128" s="316"/>
      <c r="AI128" s="316"/>
      <c r="AJ128" s="316"/>
      <c r="AK128" s="357"/>
      <c r="AL128" s="316"/>
      <c r="AM128" s="316"/>
      <c r="AN128" s="316"/>
      <c r="AO128" s="319"/>
      <c r="AP128" s="316"/>
      <c r="AQ128" s="369"/>
      <c r="AR128" s="316"/>
      <c r="AS128" s="443">
        <f t="shared" si="88"/>
        <v>3.159</v>
      </c>
      <c r="AT128" s="284">
        <f t="shared" si="89"/>
        <v>307518119.99999994</v>
      </c>
      <c r="AU128" s="15"/>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row>
    <row r="129" spans="1:75" ht="15.75">
      <c r="A129" s="372">
        <v>4</v>
      </c>
      <c r="B129" s="373" t="s">
        <v>78</v>
      </c>
      <c r="C129" s="417"/>
      <c r="D129" s="417"/>
      <c r="E129" s="347">
        <f>F129+G129+X129</f>
        <v>10.1599</v>
      </c>
      <c r="F129" s="374">
        <v>3.99</v>
      </c>
      <c r="G129" s="347">
        <f>SUM(H129:W129)</f>
        <v>5.197000000000001</v>
      </c>
      <c r="H129" s="347">
        <v>0.7</v>
      </c>
      <c r="I129" s="347">
        <v>0.15</v>
      </c>
      <c r="J129" s="347"/>
      <c r="K129" s="347">
        <f>(F129+I129+J129)*0.5</f>
        <v>2.0700000000000003</v>
      </c>
      <c r="L129" s="347"/>
      <c r="M129" s="347"/>
      <c r="N129" s="347"/>
      <c r="O129" s="347">
        <f>(F129+I129+J129)*0.25</f>
        <v>1.0350000000000001</v>
      </c>
      <c r="P129" s="347"/>
      <c r="Q129" s="347"/>
      <c r="R129" s="347"/>
      <c r="S129" s="351"/>
      <c r="T129" s="347">
        <f>(F129+I129+J129)*30%</f>
        <v>1.2420000000000002</v>
      </c>
      <c r="U129" s="347"/>
      <c r="V129" s="347"/>
      <c r="W129" s="347"/>
      <c r="X129" s="347">
        <f>(F129+I129+J129+M129)*0.235</f>
        <v>0.9729000000000001</v>
      </c>
      <c r="Y129" s="352">
        <f>E129*1490000*12</f>
        <v>181659012</v>
      </c>
      <c r="Z129" s="369"/>
      <c r="AA129" s="377"/>
      <c r="AB129" s="377"/>
      <c r="AC129" s="377"/>
      <c r="AD129" s="377"/>
      <c r="AE129" s="377"/>
      <c r="AF129" s="377"/>
      <c r="AG129" s="377"/>
      <c r="AH129" s="377"/>
      <c r="AI129" s="377"/>
      <c r="AJ129" s="377"/>
      <c r="AK129" s="377"/>
      <c r="AL129" s="377"/>
      <c r="AM129" s="377"/>
      <c r="AN129" s="377"/>
      <c r="AO129" s="377"/>
      <c r="AP129" s="377"/>
      <c r="AQ129" s="377"/>
      <c r="AR129" s="377"/>
      <c r="AS129" s="445"/>
      <c r="AT129" s="377"/>
      <c r="AU129" s="15"/>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row>
    <row r="130" spans="1:75" ht="15.75">
      <c r="A130" s="370" t="s">
        <v>77</v>
      </c>
      <c r="B130" s="266" t="s">
        <v>76</v>
      </c>
      <c r="C130" s="419">
        <v>2</v>
      </c>
      <c r="D130" s="419">
        <v>2</v>
      </c>
      <c r="E130" s="269">
        <f aca="true" t="shared" si="94" ref="E130:U130">E131</f>
        <v>18.3715</v>
      </c>
      <c r="F130" s="276">
        <f t="shared" si="94"/>
        <v>6.96</v>
      </c>
      <c r="G130" s="269">
        <f t="shared" si="94"/>
        <v>9.733</v>
      </c>
      <c r="H130" s="269">
        <f t="shared" si="94"/>
        <v>1.4</v>
      </c>
      <c r="I130" s="269">
        <f t="shared" si="94"/>
        <v>0.5</v>
      </c>
      <c r="J130" s="269">
        <f t="shared" si="94"/>
        <v>0</v>
      </c>
      <c r="K130" s="269">
        <f t="shared" si="94"/>
        <v>3.73</v>
      </c>
      <c r="L130" s="269">
        <f t="shared" si="94"/>
        <v>0</v>
      </c>
      <c r="M130" s="269">
        <f t="shared" si="94"/>
        <v>0</v>
      </c>
      <c r="N130" s="269">
        <f t="shared" si="94"/>
        <v>0</v>
      </c>
      <c r="O130" s="269">
        <f t="shared" si="94"/>
        <v>1.865</v>
      </c>
      <c r="P130" s="269">
        <f t="shared" si="94"/>
        <v>0</v>
      </c>
      <c r="Q130" s="269">
        <f t="shared" si="94"/>
        <v>0</v>
      </c>
      <c r="R130" s="269">
        <f t="shared" si="94"/>
        <v>0</v>
      </c>
      <c r="S130" s="276">
        <f t="shared" si="94"/>
        <v>0</v>
      </c>
      <c r="T130" s="269">
        <f t="shared" si="94"/>
        <v>2.2379999999999995</v>
      </c>
      <c r="U130" s="269">
        <f t="shared" si="94"/>
        <v>0</v>
      </c>
      <c r="V130" s="269"/>
      <c r="W130" s="269">
        <f>W131</f>
        <v>0</v>
      </c>
      <c r="X130" s="269">
        <f>X131</f>
        <v>1.6785</v>
      </c>
      <c r="Y130" s="270">
        <f>Y131</f>
        <v>328482420</v>
      </c>
      <c r="Z130" s="378">
        <v>4</v>
      </c>
      <c r="AA130" s="378">
        <f>SUM(AA131:AA134)</f>
        <v>38.747749999999996</v>
      </c>
      <c r="AB130" s="378">
        <f aca="true" t="shared" si="95" ref="AB130:AS130">SUM(AB131:AB134)</f>
        <v>15.42</v>
      </c>
      <c r="AC130" s="378">
        <f t="shared" si="95"/>
        <v>19.6445</v>
      </c>
      <c r="AD130" s="378">
        <f t="shared" si="95"/>
        <v>2.0999999999999996</v>
      </c>
      <c r="AE130" s="378">
        <f t="shared" si="95"/>
        <v>0.9500000000000001</v>
      </c>
      <c r="AF130" s="378">
        <f t="shared" si="95"/>
        <v>0</v>
      </c>
      <c r="AG130" s="378">
        <f t="shared" si="95"/>
        <v>7.015000000000001</v>
      </c>
      <c r="AH130" s="378">
        <f t="shared" si="95"/>
        <v>0</v>
      </c>
      <c r="AI130" s="378">
        <f t="shared" si="95"/>
        <v>0</v>
      </c>
      <c r="AJ130" s="378">
        <f t="shared" si="95"/>
        <v>0</v>
      </c>
      <c r="AK130" s="378">
        <f t="shared" si="95"/>
        <v>3.5075000000000003</v>
      </c>
      <c r="AL130" s="378">
        <f t="shared" si="95"/>
        <v>0</v>
      </c>
      <c r="AM130" s="378">
        <f t="shared" si="95"/>
        <v>0</v>
      </c>
      <c r="AN130" s="378">
        <f t="shared" si="95"/>
        <v>0</v>
      </c>
      <c r="AO130" s="378">
        <f t="shared" si="95"/>
        <v>0</v>
      </c>
      <c r="AP130" s="378">
        <f t="shared" si="95"/>
        <v>4.209</v>
      </c>
      <c r="AQ130" s="378">
        <f t="shared" si="95"/>
        <v>1.4030000000000002</v>
      </c>
      <c r="AR130" s="378">
        <f t="shared" si="95"/>
        <v>0.45999999999999996</v>
      </c>
      <c r="AS130" s="446">
        <f t="shared" si="95"/>
        <v>3.68325</v>
      </c>
      <c r="AT130" s="379">
        <f>SUM(AT131:AT135)</f>
        <v>696700160</v>
      </c>
      <c r="AU130" s="9"/>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row>
    <row r="131" spans="1:75" ht="15.75">
      <c r="A131" s="370">
        <v>1</v>
      </c>
      <c r="B131" s="266" t="s">
        <v>75</v>
      </c>
      <c r="C131" s="419"/>
      <c r="D131" s="419"/>
      <c r="E131" s="269">
        <f aca="true" t="shared" si="96" ref="E131:X131">E132+E133</f>
        <v>18.3715</v>
      </c>
      <c r="F131" s="269">
        <f t="shared" si="96"/>
        <v>6.96</v>
      </c>
      <c r="G131" s="269">
        <f t="shared" si="96"/>
        <v>9.733</v>
      </c>
      <c r="H131" s="269">
        <f t="shared" si="96"/>
        <v>1.4</v>
      </c>
      <c r="I131" s="269">
        <f t="shared" si="96"/>
        <v>0.5</v>
      </c>
      <c r="J131" s="269">
        <f t="shared" si="96"/>
        <v>0</v>
      </c>
      <c r="K131" s="269">
        <f t="shared" si="96"/>
        <v>3.73</v>
      </c>
      <c r="L131" s="269">
        <f t="shared" si="96"/>
        <v>0</v>
      </c>
      <c r="M131" s="269">
        <f t="shared" si="96"/>
        <v>0</v>
      </c>
      <c r="N131" s="269">
        <f t="shared" si="96"/>
        <v>0</v>
      </c>
      <c r="O131" s="269">
        <f t="shared" si="96"/>
        <v>1.865</v>
      </c>
      <c r="P131" s="269">
        <f t="shared" si="96"/>
        <v>0</v>
      </c>
      <c r="Q131" s="269">
        <f t="shared" si="96"/>
        <v>0</v>
      </c>
      <c r="R131" s="269">
        <f t="shared" si="96"/>
        <v>0</v>
      </c>
      <c r="S131" s="269">
        <f t="shared" si="96"/>
        <v>0</v>
      </c>
      <c r="T131" s="269">
        <f t="shared" si="96"/>
        <v>2.2379999999999995</v>
      </c>
      <c r="U131" s="269">
        <f t="shared" si="96"/>
        <v>0</v>
      </c>
      <c r="V131" s="269">
        <f t="shared" si="96"/>
        <v>0</v>
      </c>
      <c r="W131" s="269">
        <f t="shared" si="96"/>
        <v>0</v>
      </c>
      <c r="X131" s="269">
        <f t="shared" si="96"/>
        <v>1.6785</v>
      </c>
      <c r="Y131" s="270">
        <f>ROUNDUP(SUM(Y132:Y133),0)</f>
        <v>328482420</v>
      </c>
      <c r="Z131" s="283"/>
      <c r="AA131" s="302">
        <f>AB131+AC131+AS131</f>
        <v>16.044999999999998</v>
      </c>
      <c r="AB131" s="380">
        <v>5.76</v>
      </c>
      <c r="AC131" s="302">
        <f>SUM(AD131:AR131)</f>
        <v>8.854</v>
      </c>
      <c r="AD131" s="302">
        <v>0.7</v>
      </c>
      <c r="AE131" s="381">
        <v>0.6</v>
      </c>
      <c r="AF131" s="302"/>
      <c r="AG131" s="302">
        <f>(AB131+AE131)*50%</f>
        <v>3.1799999999999997</v>
      </c>
      <c r="AH131" s="302"/>
      <c r="AI131" s="302"/>
      <c r="AJ131" s="302"/>
      <c r="AK131" s="302">
        <f>(AB131+AE131)*25%</f>
        <v>1.5899999999999999</v>
      </c>
      <c r="AL131" s="302"/>
      <c r="AM131" s="302"/>
      <c r="AN131" s="302"/>
      <c r="AO131" s="302"/>
      <c r="AP131" s="302">
        <f>(AB131+AE131)*30%</f>
        <v>1.9079999999999997</v>
      </c>
      <c r="AQ131" s="302">
        <f>(AB131+AE131)*10%</f>
        <v>0.636</v>
      </c>
      <c r="AR131" s="302">
        <v>0.24</v>
      </c>
      <c r="AS131" s="432">
        <f>(AB131+AE131)*22.5%</f>
        <v>1.4309999999999998</v>
      </c>
      <c r="AT131" s="303">
        <f>AA131*12*1490000</f>
        <v>286884599.99999994</v>
      </c>
      <c r="AU131" s="9"/>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row>
    <row r="132" spans="1:75" ht="15.75">
      <c r="A132" s="370">
        <v>1</v>
      </c>
      <c r="B132" s="337" t="s">
        <v>27</v>
      </c>
      <c r="C132" s="420"/>
      <c r="D132" s="420"/>
      <c r="E132" s="274">
        <f>F132+G132+X132</f>
        <v>10.3915</v>
      </c>
      <c r="F132" s="371">
        <v>3.96</v>
      </c>
      <c r="G132" s="274">
        <f>SUM(H132:W132)</f>
        <v>5.473</v>
      </c>
      <c r="H132" s="274">
        <v>0.7</v>
      </c>
      <c r="I132" s="274">
        <v>0.3</v>
      </c>
      <c r="J132" s="274"/>
      <c r="K132" s="274">
        <f>(F132+I132+J132)*0.5</f>
        <v>2.13</v>
      </c>
      <c r="L132" s="274"/>
      <c r="M132" s="274"/>
      <c r="N132" s="274"/>
      <c r="O132" s="274">
        <f>(F132+I132+J132+M132)*0.25</f>
        <v>1.065</v>
      </c>
      <c r="P132" s="274"/>
      <c r="Q132" s="274"/>
      <c r="R132" s="274"/>
      <c r="S132" s="275"/>
      <c r="T132" s="274">
        <f>(F132+I132+J132)*30%</f>
        <v>1.2779999999999998</v>
      </c>
      <c r="U132" s="274"/>
      <c r="V132" s="274"/>
      <c r="W132" s="274"/>
      <c r="X132" s="274">
        <f>(F132+I132+J132+M132)*0.225</f>
        <v>0.9585</v>
      </c>
      <c r="Y132" s="277">
        <f>E132*1490000*12</f>
        <v>185800020</v>
      </c>
      <c r="Z132" s="304"/>
      <c r="AA132" s="302">
        <f>AB132+AC132+AS132</f>
        <v>9.08375</v>
      </c>
      <c r="AB132" s="380">
        <v>3.33</v>
      </c>
      <c r="AC132" s="302">
        <f>SUM(AD132:AR132)</f>
        <v>4.9595</v>
      </c>
      <c r="AD132" s="302">
        <v>0.7</v>
      </c>
      <c r="AE132" s="381">
        <v>0.2</v>
      </c>
      <c r="AF132" s="305"/>
      <c r="AG132" s="302">
        <f>(AB132+AE132)*50%</f>
        <v>1.7650000000000001</v>
      </c>
      <c r="AH132" s="305"/>
      <c r="AI132" s="305"/>
      <c r="AJ132" s="305"/>
      <c r="AK132" s="302">
        <f>(AB132+AE132)*25%</f>
        <v>0.8825000000000001</v>
      </c>
      <c r="AL132" s="305"/>
      <c r="AM132" s="305"/>
      <c r="AN132" s="305"/>
      <c r="AO132" s="305"/>
      <c r="AP132" s="302">
        <f>(AB132+AE132)*30%</f>
        <v>1.059</v>
      </c>
      <c r="AQ132" s="302">
        <f>(AB132+AE132)*10%</f>
        <v>0.35300000000000004</v>
      </c>
      <c r="AR132" s="305"/>
      <c r="AS132" s="432">
        <f>(AB132+AE132)*22.5%</f>
        <v>0.7942500000000001</v>
      </c>
      <c r="AT132" s="303">
        <f>AA132*12*1490000</f>
        <v>162417450</v>
      </c>
      <c r="AU132" s="9"/>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row>
    <row r="133" spans="1:75" ht="15.75">
      <c r="A133" s="370">
        <v>2</v>
      </c>
      <c r="B133" s="337" t="s">
        <v>53</v>
      </c>
      <c r="C133" s="420"/>
      <c r="D133" s="420"/>
      <c r="E133" s="274">
        <f>F133+G133+X133</f>
        <v>7.9799999999999995</v>
      </c>
      <c r="F133" s="371">
        <v>3</v>
      </c>
      <c r="G133" s="274">
        <f>SUM(H133:W133)</f>
        <v>4.26</v>
      </c>
      <c r="H133" s="274">
        <v>0.7</v>
      </c>
      <c r="I133" s="274">
        <v>0.2</v>
      </c>
      <c r="J133" s="274"/>
      <c r="K133" s="274">
        <f>(F133+I133+J133)*0.5</f>
        <v>1.6</v>
      </c>
      <c r="L133" s="274"/>
      <c r="M133" s="274"/>
      <c r="N133" s="274"/>
      <c r="O133" s="274">
        <f>(F133+I133+J133+M133)*0.25</f>
        <v>0.8</v>
      </c>
      <c r="P133" s="274"/>
      <c r="Q133" s="274"/>
      <c r="R133" s="274"/>
      <c r="S133" s="275"/>
      <c r="T133" s="274">
        <f>(F133+I133+J133)*30%</f>
        <v>0.96</v>
      </c>
      <c r="U133" s="274"/>
      <c r="V133" s="274"/>
      <c r="W133" s="274"/>
      <c r="X133" s="274">
        <f>(F133+I133+J133+M133)*0.225</f>
        <v>0.7200000000000001</v>
      </c>
      <c r="Y133" s="277">
        <f>E133*1490000*12</f>
        <v>142682400</v>
      </c>
      <c r="Z133" s="283"/>
      <c r="AA133" s="302">
        <f>AB133+AC133+AS133</f>
        <v>10.752500000000001</v>
      </c>
      <c r="AB133" s="382">
        <v>3.99</v>
      </c>
      <c r="AC133" s="302">
        <f>SUM(AD133:AR133)</f>
        <v>5.831</v>
      </c>
      <c r="AD133" s="302">
        <v>0.7</v>
      </c>
      <c r="AE133" s="383">
        <v>0.15</v>
      </c>
      <c r="AF133" s="283"/>
      <c r="AG133" s="302">
        <f>(AB133+AE133)*50%</f>
        <v>2.0700000000000003</v>
      </c>
      <c r="AH133" s="283"/>
      <c r="AI133" s="283"/>
      <c r="AJ133" s="283"/>
      <c r="AK133" s="302">
        <f>(AB133+AE133)*25%</f>
        <v>1.0350000000000001</v>
      </c>
      <c r="AL133" s="283"/>
      <c r="AM133" s="283"/>
      <c r="AN133" s="283"/>
      <c r="AO133" s="283"/>
      <c r="AP133" s="302">
        <f>(AB133+AE133)*30%</f>
        <v>1.2420000000000002</v>
      </c>
      <c r="AQ133" s="302">
        <f>(AB133+AE133)*10%</f>
        <v>0.4140000000000001</v>
      </c>
      <c r="AR133" s="283">
        <v>0.22</v>
      </c>
      <c r="AS133" s="432">
        <f>(AB133+AE133)*22.5%</f>
        <v>0.9315000000000001</v>
      </c>
      <c r="AT133" s="303">
        <f>AA133*12*1490000</f>
        <v>192254700.00000003</v>
      </c>
      <c r="AU133" s="9"/>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row>
    <row r="134" spans="1:75" ht="15.75">
      <c r="A134" s="370" t="s">
        <v>74</v>
      </c>
      <c r="B134" s="266" t="s">
        <v>73</v>
      </c>
      <c r="C134" s="419">
        <v>2</v>
      </c>
      <c r="D134" s="419">
        <v>1</v>
      </c>
      <c r="E134" s="269">
        <f aca="true" t="shared" si="97" ref="E134:X134">SUM(E135:E136)</f>
        <v>16.50665</v>
      </c>
      <c r="F134" s="269">
        <f t="shared" si="97"/>
        <v>6.33</v>
      </c>
      <c r="G134" s="269">
        <f t="shared" si="97"/>
        <v>8.6615</v>
      </c>
      <c r="H134" s="269">
        <f t="shared" si="97"/>
        <v>1.4</v>
      </c>
      <c r="I134" s="269">
        <f t="shared" si="97"/>
        <v>0.3</v>
      </c>
      <c r="J134" s="269">
        <f t="shared" si="97"/>
        <v>0</v>
      </c>
      <c r="K134" s="269">
        <f t="shared" si="97"/>
        <v>3.315</v>
      </c>
      <c r="L134" s="269">
        <f t="shared" si="97"/>
        <v>0</v>
      </c>
      <c r="M134" s="269">
        <f t="shared" si="97"/>
        <v>0</v>
      </c>
      <c r="N134" s="269">
        <f t="shared" si="97"/>
        <v>0</v>
      </c>
      <c r="O134" s="269">
        <f t="shared" si="97"/>
        <v>1.6575</v>
      </c>
      <c r="P134" s="269">
        <f t="shared" si="97"/>
        <v>0</v>
      </c>
      <c r="Q134" s="269">
        <f t="shared" si="97"/>
        <v>0</v>
      </c>
      <c r="R134" s="269">
        <f t="shared" si="97"/>
        <v>0</v>
      </c>
      <c r="S134" s="269">
        <f t="shared" si="97"/>
        <v>0</v>
      </c>
      <c r="T134" s="269">
        <f t="shared" si="97"/>
        <v>1.9889999999999999</v>
      </c>
      <c r="U134" s="269">
        <f t="shared" si="97"/>
        <v>0</v>
      </c>
      <c r="V134" s="269">
        <f t="shared" si="97"/>
        <v>0</v>
      </c>
      <c r="W134" s="269">
        <f t="shared" si="97"/>
        <v>0</v>
      </c>
      <c r="X134" s="269">
        <f t="shared" si="97"/>
        <v>1.51515</v>
      </c>
      <c r="Y134" s="269">
        <f>ROUNDUP(SUM(Y135:Y136),0)</f>
        <v>295138902</v>
      </c>
      <c r="Z134" s="283"/>
      <c r="AA134" s="302">
        <f>AB134+AC134+AS134</f>
        <v>2.8665</v>
      </c>
      <c r="AB134" s="302">
        <v>2.34</v>
      </c>
      <c r="AC134" s="302">
        <f>SUM(AD134:AR134)</f>
        <v>0</v>
      </c>
      <c r="AD134" s="302">
        <v>0</v>
      </c>
      <c r="AE134" s="283">
        <v>0</v>
      </c>
      <c r="AF134" s="283"/>
      <c r="AG134" s="302"/>
      <c r="AH134" s="283"/>
      <c r="AI134" s="283"/>
      <c r="AJ134" s="283"/>
      <c r="AK134" s="302"/>
      <c r="AL134" s="283"/>
      <c r="AM134" s="283"/>
      <c r="AN134" s="283"/>
      <c r="AO134" s="283"/>
      <c r="AP134" s="302"/>
      <c r="AQ134" s="283"/>
      <c r="AR134" s="283"/>
      <c r="AS134" s="432">
        <f>(AB134+AE134)*22.5%</f>
        <v>0.5265</v>
      </c>
      <c r="AT134" s="303">
        <f>AA134*11*1490000</f>
        <v>46981935</v>
      </c>
      <c r="AU134" s="9"/>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row>
    <row r="135" spans="1:75" ht="15.75">
      <c r="A135" s="370">
        <v>1</v>
      </c>
      <c r="B135" s="337" t="s">
        <v>32</v>
      </c>
      <c r="C135" s="420"/>
      <c r="D135" s="420"/>
      <c r="E135" s="274">
        <f>F135+G135+X135</f>
        <v>10.45975</v>
      </c>
      <c r="F135" s="371">
        <v>3.99</v>
      </c>
      <c r="G135" s="274">
        <f>H135+I135+J135+K135+L135+M135+N135+O135+P135+Q135+R135+S135+T135+U135+W135</f>
        <v>5.5045</v>
      </c>
      <c r="H135" s="274">
        <v>0.7</v>
      </c>
      <c r="I135" s="274">
        <v>0.3</v>
      </c>
      <c r="J135" s="274"/>
      <c r="K135" s="274">
        <f>(F135+I135+J135)*0.5</f>
        <v>2.145</v>
      </c>
      <c r="L135" s="274"/>
      <c r="M135" s="274"/>
      <c r="N135" s="274"/>
      <c r="O135" s="274">
        <f>(F135+I135+J135+M135)*0.25</f>
        <v>1.0725</v>
      </c>
      <c r="P135" s="274"/>
      <c r="Q135" s="274"/>
      <c r="R135" s="274"/>
      <c r="S135" s="275"/>
      <c r="T135" s="274">
        <f>(F135+I135+J135)*30%</f>
        <v>1.287</v>
      </c>
      <c r="U135" s="274"/>
      <c r="V135" s="274"/>
      <c r="W135" s="274"/>
      <c r="X135" s="274">
        <f>(F135+I135)*0.225</f>
        <v>0.96525</v>
      </c>
      <c r="Y135" s="277">
        <f>E135*1490000*12</f>
        <v>187020330</v>
      </c>
      <c r="Z135" s="283"/>
      <c r="AA135" s="302">
        <f>AB135+AC135+AS135</f>
        <v>5.4775</v>
      </c>
      <c r="AB135" s="302">
        <v>2.1</v>
      </c>
      <c r="AC135" s="302">
        <f>SUM(AD135:AR135)</f>
        <v>2.905</v>
      </c>
      <c r="AD135" s="302">
        <v>0.7</v>
      </c>
      <c r="AE135" s="283"/>
      <c r="AF135" s="283"/>
      <c r="AG135" s="302">
        <f>(AB135+AE135)*50%</f>
        <v>1.05</v>
      </c>
      <c r="AH135" s="283"/>
      <c r="AI135" s="283"/>
      <c r="AJ135" s="283"/>
      <c r="AK135" s="302">
        <f>(AB135+AE135)*25%</f>
        <v>0.525</v>
      </c>
      <c r="AL135" s="283"/>
      <c r="AM135" s="283"/>
      <c r="AN135" s="283"/>
      <c r="AO135" s="283"/>
      <c r="AP135" s="302">
        <f>(AB135+AE135)*30%</f>
        <v>0.63</v>
      </c>
      <c r="AQ135" s="283"/>
      <c r="AR135" s="283"/>
      <c r="AS135" s="432">
        <f>(AB135+AE135)*22.5%</f>
        <v>0.47250000000000003</v>
      </c>
      <c r="AT135" s="303">
        <f>AA135*1*1490000</f>
        <v>8161475</v>
      </c>
      <c r="AU135" s="9"/>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row>
    <row r="136" spans="1:75" ht="15.75">
      <c r="A136" s="384">
        <v>2</v>
      </c>
      <c r="B136" s="337" t="s">
        <v>72</v>
      </c>
      <c r="C136" s="420"/>
      <c r="D136" s="420"/>
      <c r="E136" s="274">
        <f>F136+G136+X136</f>
        <v>6.0469</v>
      </c>
      <c r="F136" s="371">
        <v>2.34</v>
      </c>
      <c r="G136" s="274">
        <f>SUM(H136:W136)</f>
        <v>3.157</v>
      </c>
      <c r="H136" s="274">
        <v>0.7</v>
      </c>
      <c r="I136" s="274"/>
      <c r="J136" s="274"/>
      <c r="K136" s="274">
        <f>(F136+I136+J136)*0.5</f>
        <v>1.17</v>
      </c>
      <c r="L136" s="274"/>
      <c r="M136" s="274"/>
      <c r="N136" s="274"/>
      <c r="O136" s="274">
        <f>(F136+I136+J136)*0.25</f>
        <v>0.585</v>
      </c>
      <c r="P136" s="274"/>
      <c r="Q136" s="274"/>
      <c r="R136" s="274"/>
      <c r="S136" s="275"/>
      <c r="T136" s="274">
        <f>(F136+I136+J136)*30%</f>
        <v>0.702</v>
      </c>
      <c r="U136" s="274"/>
      <c r="V136" s="274"/>
      <c r="W136" s="274"/>
      <c r="X136" s="274">
        <f>(F136+I136+J136+M136)*0.235</f>
        <v>0.5498999999999999</v>
      </c>
      <c r="Y136" s="277">
        <f>E136*1490000*12</f>
        <v>108118572</v>
      </c>
      <c r="Z136" s="292">
        <v>2</v>
      </c>
      <c r="AA136" s="385">
        <f>SUM(AA137:AA138)</f>
        <v>14.077</v>
      </c>
      <c r="AB136" s="385">
        <f>SUM(AB137:AB138)</f>
        <v>6.66</v>
      </c>
      <c r="AC136" s="385">
        <f aca="true" t="shared" si="98" ref="AC136:AS136">SUM(AC137:AC138)</f>
        <v>5.851</v>
      </c>
      <c r="AD136" s="385">
        <f t="shared" si="98"/>
        <v>0.7</v>
      </c>
      <c r="AE136" s="385">
        <f t="shared" si="98"/>
        <v>0.3</v>
      </c>
      <c r="AF136" s="385">
        <f t="shared" si="98"/>
        <v>0</v>
      </c>
      <c r="AG136" s="385">
        <f t="shared" si="98"/>
        <v>2.31</v>
      </c>
      <c r="AH136" s="385">
        <f t="shared" si="98"/>
        <v>0</v>
      </c>
      <c r="AI136" s="385">
        <f t="shared" si="98"/>
        <v>0</v>
      </c>
      <c r="AJ136" s="385">
        <f t="shared" si="98"/>
        <v>0</v>
      </c>
      <c r="AK136" s="385">
        <f t="shared" si="98"/>
        <v>1.155</v>
      </c>
      <c r="AL136" s="385">
        <f t="shared" si="98"/>
        <v>0</v>
      </c>
      <c r="AM136" s="385">
        <f t="shared" si="98"/>
        <v>0</v>
      </c>
      <c r="AN136" s="385">
        <f t="shared" si="98"/>
        <v>0</v>
      </c>
      <c r="AO136" s="385">
        <f t="shared" si="98"/>
        <v>0</v>
      </c>
      <c r="AP136" s="385">
        <f t="shared" si="98"/>
        <v>1.386</v>
      </c>
      <c r="AQ136" s="385">
        <f t="shared" si="98"/>
        <v>0</v>
      </c>
      <c r="AR136" s="385">
        <f t="shared" si="98"/>
        <v>0</v>
      </c>
      <c r="AS136" s="447">
        <f t="shared" si="98"/>
        <v>1.566</v>
      </c>
      <c r="AT136" s="385">
        <f>SUM(AT137:AT138)</f>
        <v>251696760.00000003</v>
      </c>
      <c r="AU136" s="9"/>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row>
    <row r="137" spans="1:75" ht="15.75">
      <c r="A137" s="370" t="s">
        <v>71</v>
      </c>
      <c r="B137" s="266" t="s">
        <v>70</v>
      </c>
      <c r="C137" s="419">
        <v>3</v>
      </c>
      <c r="D137" s="419">
        <v>3</v>
      </c>
      <c r="E137" s="269">
        <f aca="true" t="shared" si="99" ref="E137:X137">E138+E139+E140</f>
        <v>19.412750000000003</v>
      </c>
      <c r="F137" s="269">
        <f t="shared" si="99"/>
        <v>7.109999999999999</v>
      </c>
      <c r="G137" s="269">
        <f t="shared" si="99"/>
        <v>10.5905</v>
      </c>
      <c r="H137" s="269">
        <f t="shared" si="99"/>
        <v>2.0999999999999996</v>
      </c>
      <c r="I137" s="269">
        <f t="shared" si="99"/>
        <v>0.5</v>
      </c>
      <c r="J137" s="269">
        <f t="shared" si="99"/>
        <v>0</v>
      </c>
      <c r="K137" s="269">
        <f t="shared" si="99"/>
        <v>3.8049999999999997</v>
      </c>
      <c r="L137" s="269">
        <f t="shared" si="99"/>
        <v>0</v>
      </c>
      <c r="M137" s="269">
        <f t="shared" si="99"/>
        <v>0</v>
      </c>
      <c r="N137" s="269">
        <f t="shared" si="99"/>
        <v>0</v>
      </c>
      <c r="O137" s="269">
        <f t="shared" si="99"/>
        <v>1.9024999999999999</v>
      </c>
      <c r="P137" s="269">
        <f t="shared" si="99"/>
        <v>0</v>
      </c>
      <c r="Q137" s="269">
        <f t="shared" si="99"/>
        <v>0</v>
      </c>
      <c r="R137" s="269">
        <f t="shared" si="99"/>
        <v>0</v>
      </c>
      <c r="S137" s="269">
        <f t="shared" si="99"/>
        <v>0</v>
      </c>
      <c r="T137" s="269">
        <f t="shared" si="99"/>
        <v>2.283</v>
      </c>
      <c r="U137" s="269">
        <f t="shared" si="99"/>
        <v>0</v>
      </c>
      <c r="V137" s="269">
        <f t="shared" si="99"/>
        <v>0</v>
      </c>
      <c r="W137" s="269">
        <f t="shared" si="99"/>
        <v>0</v>
      </c>
      <c r="X137" s="269">
        <f t="shared" si="99"/>
        <v>1.71225</v>
      </c>
      <c r="Y137" s="270">
        <f>ROUNDUP(SUM(Y138:Y140),0)</f>
        <v>347099970</v>
      </c>
      <c r="Z137" s="283"/>
      <c r="AA137" s="302">
        <f>AB137+AC137+AS137</f>
        <v>11.2105</v>
      </c>
      <c r="AB137" s="386">
        <v>4.32</v>
      </c>
      <c r="AC137" s="302">
        <f>SUM(AD137:AR137)</f>
        <v>5.851</v>
      </c>
      <c r="AD137" s="302">
        <v>0.7</v>
      </c>
      <c r="AE137" s="381">
        <v>0.3</v>
      </c>
      <c r="AF137" s="302"/>
      <c r="AG137" s="302">
        <f>(AB137+AE137)*50%</f>
        <v>2.31</v>
      </c>
      <c r="AH137" s="302"/>
      <c r="AI137" s="302"/>
      <c r="AJ137" s="302"/>
      <c r="AK137" s="302">
        <f>(AB137+AE137)*25%</f>
        <v>1.155</v>
      </c>
      <c r="AL137" s="302"/>
      <c r="AM137" s="302"/>
      <c r="AN137" s="302"/>
      <c r="AO137" s="302"/>
      <c r="AP137" s="302">
        <f>(AB137+AE137)*30%</f>
        <v>1.386</v>
      </c>
      <c r="AQ137" s="302"/>
      <c r="AR137" s="302"/>
      <c r="AS137" s="432">
        <f>(AB137+AE137)*22.5%</f>
        <v>1.0395</v>
      </c>
      <c r="AT137" s="303">
        <f>AA137*12*1490000</f>
        <v>200443740.00000003</v>
      </c>
      <c r="AU137" s="9"/>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row>
    <row r="138" spans="1:75" ht="15.75">
      <c r="A138" s="370">
        <v>1</v>
      </c>
      <c r="B138" s="337" t="s">
        <v>18</v>
      </c>
      <c r="C138" s="420"/>
      <c r="D138" s="420"/>
      <c r="E138" s="274">
        <f>F138+G138+X138</f>
        <v>7.4567499999999995</v>
      </c>
      <c r="F138" s="371">
        <v>2.67</v>
      </c>
      <c r="G138" s="274">
        <f>SUM(H138:W138)</f>
        <v>4.1185</v>
      </c>
      <c r="H138" s="274">
        <v>0.7</v>
      </c>
      <c r="I138" s="274">
        <v>0.3</v>
      </c>
      <c r="J138" s="274"/>
      <c r="K138" s="274">
        <f>(F138+I138+J138)*0.5</f>
        <v>1.4849999999999999</v>
      </c>
      <c r="L138" s="274"/>
      <c r="M138" s="274"/>
      <c r="N138" s="274"/>
      <c r="O138" s="274">
        <f>(F138+I138+J138+M138)*0.25</f>
        <v>0.7424999999999999</v>
      </c>
      <c r="P138" s="274"/>
      <c r="Q138" s="274"/>
      <c r="R138" s="274"/>
      <c r="S138" s="275"/>
      <c r="T138" s="274">
        <f>(F138+I138+J138)*30%</f>
        <v>0.8909999999999999</v>
      </c>
      <c r="U138" s="274"/>
      <c r="V138" s="274"/>
      <c r="W138" s="274"/>
      <c r="X138" s="274">
        <f>(F138+I138+J138+M138)*0.225</f>
        <v>0.66825</v>
      </c>
      <c r="Y138" s="277">
        <f>E138*1490000*12</f>
        <v>133326690</v>
      </c>
      <c r="Z138" s="283"/>
      <c r="AA138" s="302">
        <f>AB138+AC138+AS138</f>
        <v>2.8665</v>
      </c>
      <c r="AB138" s="302">
        <v>2.34</v>
      </c>
      <c r="AC138" s="302">
        <f>SUM(AD138:AR138)</f>
        <v>0</v>
      </c>
      <c r="AD138" s="302">
        <v>0</v>
      </c>
      <c r="AE138" s="283">
        <v>0</v>
      </c>
      <c r="AF138" s="283"/>
      <c r="AG138" s="302">
        <v>0</v>
      </c>
      <c r="AH138" s="283"/>
      <c r="AI138" s="283"/>
      <c r="AJ138" s="283"/>
      <c r="AK138" s="283"/>
      <c r="AL138" s="283"/>
      <c r="AM138" s="283"/>
      <c r="AN138" s="283"/>
      <c r="AO138" s="283"/>
      <c r="AP138" s="283"/>
      <c r="AQ138" s="283"/>
      <c r="AR138" s="283"/>
      <c r="AS138" s="432">
        <f>(AB138+AE138)*22.5%</f>
        <v>0.5265</v>
      </c>
      <c r="AT138" s="303">
        <f>AA138*12*1490000</f>
        <v>51253019.99999999</v>
      </c>
      <c r="AU138" s="9"/>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row>
    <row r="139" spans="1:75" ht="15.75">
      <c r="A139" s="370">
        <v>2</v>
      </c>
      <c r="B139" s="337" t="s">
        <v>22</v>
      </c>
      <c r="C139" s="420"/>
      <c r="D139" s="420"/>
      <c r="E139" s="274">
        <f>F139+G139+X139</f>
        <v>5.9325</v>
      </c>
      <c r="F139" s="371">
        <v>2.1</v>
      </c>
      <c r="G139" s="274">
        <f>H139+I139+J139+K139+L139+M139+N139+O139+P139+Q139+R139+S139+T139+U139+W139</f>
        <v>3.315</v>
      </c>
      <c r="H139" s="274">
        <v>0.7</v>
      </c>
      <c r="I139" s="274">
        <v>0.2</v>
      </c>
      <c r="J139" s="274"/>
      <c r="K139" s="274">
        <f>(F139+I139+J139)*0.5</f>
        <v>1.1500000000000001</v>
      </c>
      <c r="L139" s="274"/>
      <c r="M139" s="274"/>
      <c r="N139" s="274"/>
      <c r="O139" s="274">
        <f>(F139+I139+J139+M139)*0.25</f>
        <v>0.5750000000000001</v>
      </c>
      <c r="P139" s="274"/>
      <c r="Q139" s="274"/>
      <c r="R139" s="274"/>
      <c r="S139" s="275"/>
      <c r="T139" s="274">
        <f>(F139+I139+J139)*30%</f>
        <v>0.6900000000000001</v>
      </c>
      <c r="U139" s="274"/>
      <c r="V139" s="274"/>
      <c r="W139" s="274"/>
      <c r="X139" s="274">
        <f>(F139+I139+J139+M139)*0.225</f>
        <v>0.5175000000000001</v>
      </c>
      <c r="Y139" s="277">
        <f>E139*1490000*12</f>
        <v>106073100</v>
      </c>
      <c r="Z139" s="377">
        <v>2</v>
      </c>
      <c r="AA139" s="377">
        <f aca="true" t="shared" si="100" ref="AA139:AR139">SUM(AA140:AA142)</f>
        <v>25.82825</v>
      </c>
      <c r="AB139" s="377">
        <f t="shared" si="100"/>
        <v>9.629999999999999</v>
      </c>
      <c r="AC139" s="377">
        <f t="shared" si="100"/>
        <v>13.8515</v>
      </c>
      <c r="AD139" s="377">
        <f t="shared" si="100"/>
        <v>2.0999999999999996</v>
      </c>
      <c r="AE139" s="377">
        <f t="shared" si="100"/>
        <v>0.8</v>
      </c>
      <c r="AF139" s="377">
        <f t="shared" si="100"/>
        <v>0</v>
      </c>
      <c r="AG139" s="377">
        <f t="shared" si="100"/>
        <v>5.215</v>
      </c>
      <c r="AH139" s="377">
        <f t="shared" si="100"/>
        <v>0</v>
      </c>
      <c r="AI139" s="377">
        <f t="shared" si="100"/>
        <v>0</v>
      </c>
      <c r="AJ139" s="377">
        <f t="shared" si="100"/>
        <v>0</v>
      </c>
      <c r="AK139" s="377">
        <f t="shared" si="100"/>
        <v>2.6075</v>
      </c>
      <c r="AL139" s="377">
        <f t="shared" si="100"/>
        <v>0</v>
      </c>
      <c r="AM139" s="377">
        <f t="shared" si="100"/>
        <v>0</v>
      </c>
      <c r="AN139" s="377">
        <f t="shared" si="100"/>
        <v>0</v>
      </c>
      <c r="AO139" s="377">
        <f t="shared" si="100"/>
        <v>0</v>
      </c>
      <c r="AP139" s="377">
        <f t="shared" si="100"/>
        <v>3.1289999999999996</v>
      </c>
      <c r="AQ139" s="377">
        <f t="shared" si="100"/>
        <v>0</v>
      </c>
      <c r="AR139" s="377">
        <f t="shared" si="100"/>
        <v>0</v>
      </c>
      <c r="AS139" s="448">
        <f>SUM(AS140:AS142)</f>
        <v>2.34675</v>
      </c>
      <c r="AT139" s="387">
        <f>SUM(AT140:AT142)</f>
        <v>289127422.5</v>
      </c>
      <c r="AU139" s="9"/>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row>
    <row r="140" spans="1:75" ht="15.75">
      <c r="A140" s="370">
        <v>3</v>
      </c>
      <c r="B140" s="337" t="s">
        <v>69</v>
      </c>
      <c r="C140" s="420"/>
      <c r="D140" s="420"/>
      <c r="E140" s="274">
        <f>F140+G140+X140</f>
        <v>6.0235</v>
      </c>
      <c r="F140" s="371">
        <v>2.34</v>
      </c>
      <c r="G140" s="274">
        <f>H140+I140+J140+K140+L140+M140+N140+O140+P140+Q140+R140+S140+T140+U140+W140</f>
        <v>3.157</v>
      </c>
      <c r="H140" s="274">
        <v>0.7</v>
      </c>
      <c r="I140" s="274"/>
      <c r="J140" s="274"/>
      <c r="K140" s="274">
        <f>(F140+I140+J140)*0.5</f>
        <v>1.17</v>
      </c>
      <c r="L140" s="274"/>
      <c r="M140" s="274"/>
      <c r="N140" s="274"/>
      <c r="O140" s="274">
        <f>(F140+I140+J140+M140)*0.25</f>
        <v>0.585</v>
      </c>
      <c r="P140" s="274"/>
      <c r="Q140" s="274"/>
      <c r="R140" s="274"/>
      <c r="S140" s="275"/>
      <c r="T140" s="274">
        <f>(F140+I140+J140)*30%</f>
        <v>0.702</v>
      </c>
      <c r="U140" s="274"/>
      <c r="V140" s="274"/>
      <c r="W140" s="274"/>
      <c r="X140" s="274">
        <f>(F140+I140+J140+M140)*0.225</f>
        <v>0.5265</v>
      </c>
      <c r="Y140" s="277">
        <f>E140*1490000*12</f>
        <v>107700180</v>
      </c>
      <c r="Z140" s="388"/>
      <c r="AA140" s="389">
        <f>AB140+AC140+AS140</f>
        <v>7.4567499999999995</v>
      </c>
      <c r="AB140" s="390">
        <v>2.67</v>
      </c>
      <c r="AC140" s="389">
        <f>SUM(AD140:AR140)</f>
        <v>4.1185</v>
      </c>
      <c r="AD140" s="389">
        <v>0.7</v>
      </c>
      <c r="AE140" s="391">
        <v>0.3</v>
      </c>
      <c r="AF140" s="389"/>
      <c r="AG140" s="389">
        <f>(AB140+AE140)*50%</f>
        <v>1.4849999999999999</v>
      </c>
      <c r="AH140" s="389"/>
      <c r="AI140" s="389"/>
      <c r="AJ140" s="389"/>
      <c r="AK140" s="389">
        <f>(AB140+AE140)*25%</f>
        <v>0.7424999999999999</v>
      </c>
      <c r="AL140" s="389"/>
      <c r="AM140" s="389"/>
      <c r="AN140" s="389"/>
      <c r="AO140" s="389"/>
      <c r="AP140" s="389">
        <f>(AB140+AE140)*30%</f>
        <v>0.8909999999999999</v>
      </c>
      <c r="AQ140" s="389"/>
      <c r="AR140" s="389"/>
      <c r="AS140" s="449">
        <f>(AB140+AE140)*22.5%</f>
        <v>0.66825</v>
      </c>
      <c r="AT140" s="392">
        <f>AA140*9*1490000</f>
        <v>99995017.5</v>
      </c>
      <c r="AU140" s="9"/>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row>
    <row r="141" spans="1:75" ht="15.75">
      <c r="A141" s="370" t="s">
        <v>68</v>
      </c>
      <c r="B141" s="266" t="s">
        <v>67</v>
      </c>
      <c r="C141" s="419">
        <v>1</v>
      </c>
      <c r="D141" s="419">
        <v>1</v>
      </c>
      <c r="E141" s="269">
        <f aca="true" t="shared" si="101" ref="E141:X141">SUM(E142:E142)</f>
        <v>8.958250000000001</v>
      </c>
      <c r="F141" s="269">
        <f t="shared" si="101"/>
        <v>3.33</v>
      </c>
      <c r="G141" s="269">
        <f t="shared" si="101"/>
        <v>4.8115000000000006</v>
      </c>
      <c r="H141" s="269">
        <f t="shared" si="101"/>
        <v>0.7</v>
      </c>
      <c r="I141" s="269">
        <f t="shared" si="101"/>
        <v>0.3</v>
      </c>
      <c r="J141" s="269">
        <f t="shared" si="101"/>
        <v>0</v>
      </c>
      <c r="K141" s="269">
        <f t="shared" si="101"/>
        <v>1.815</v>
      </c>
      <c r="L141" s="269">
        <f t="shared" si="101"/>
        <v>0</v>
      </c>
      <c r="M141" s="269">
        <f t="shared" si="101"/>
        <v>0</v>
      </c>
      <c r="N141" s="269">
        <f t="shared" si="101"/>
        <v>0</v>
      </c>
      <c r="O141" s="269">
        <f t="shared" si="101"/>
        <v>0.9075</v>
      </c>
      <c r="P141" s="269">
        <f t="shared" si="101"/>
        <v>0</v>
      </c>
      <c r="Q141" s="269">
        <f t="shared" si="101"/>
        <v>0</v>
      </c>
      <c r="R141" s="269">
        <f t="shared" si="101"/>
        <v>0</v>
      </c>
      <c r="S141" s="269">
        <f t="shared" si="101"/>
        <v>0</v>
      </c>
      <c r="T141" s="269">
        <f t="shared" si="101"/>
        <v>1.089</v>
      </c>
      <c r="U141" s="269">
        <f t="shared" si="101"/>
        <v>0</v>
      </c>
      <c r="V141" s="269">
        <f t="shared" si="101"/>
        <v>0</v>
      </c>
      <c r="W141" s="269">
        <f t="shared" si="101"/>
        <v>0</v>
      </c>
      <c r="X141" s="269">
        <f t="shared" si="101"/>
        <v>0.81675</v>
      </c>
      <c r="Y141" s="269">
        <f>ROUNDUP(SUM(Y142:Y142),0)</f>
        <v>160173510</v>
      </c>
      <c r="Z141" s="388"/>
      <c r="AA141" s="389">
        <f>AB141+AC141+AS141</f>
        <v>10.3915</v>
      </c>
      <c r="AB141" s="390">
        <v>3.96</v>
      </c>
      <c r="AC141" s="389">
        <f>SUM(AD141:AR141)</f>
        <v>5.473</v>
      </c>
      <c r="AD141" s="389">
        <v>0.7</v>
      </c>
      <c r="AE141" s="391">
        <v>0.3</v>
      </c>
      <c r="AF141" s="389"/>
      <c r="AG141" s="389">
        <f>(AB141+AE141)*50%</f>
        <v>2.13</v>
      </c>
      <c r="AH141" s="389"/>
      <c r="AI141" s="389"/>
      <c r="AJ141" s="389"/>
      <c r="AK141" s="389">
        <f>(AB141+AE141)*25%</f>
        <v>1.065</v>
      </c>
      <c r="AL141" s="389"/>
      <c r="AM141" s="389"/>
      <c r="AN141" s="389"/>
      <c r="AO141" s="389"/>
      <c r="AP141" s="389">
        <f>(AB141+AE141)*30%</f>
        <v>1.2779999999999998</v>
      </c>
      <c r="AQ141" s="389"/>
      <c r="AR141" s="389"/>
      <c r="AS141" s="449">
        <f>(AB141+AE141)*22.5%</f>
        <v>0.9585</v>
      </c>
      <c r="AT141" s="392">
        <f>AA141*1490000*3</f>
        <v>46450005</v>
      </c>
      <c r="AU141" s="9"/>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row>
    <row r="142" spans="1:75" ht="15.75">
      <c r="A142" s="370">
        <v>1</v>
      </c>
      <c r="B142" s="337" t="s">
        <v>66</v>
      </c>
      <c r="C142" s="420"/>
      <c r="D142" s="420"/>
      <c r="E142" s="274">
        <f>F142+G142+X142</f>
        <v>8.958250000000001</v>
      </c>
      <c r="F142" s="371">
        <v>3.33</v>
      </c>
      <c r="G142" s="274">
        <f>H142+I142+J142+K142+L142+M142+N142+O142+P142+Q142+R142+S142+T142+U142+W142</f>
        <v>4.8115000000000006</v>
      </c>
      <c r="H142" s="274">
        <v>0.7</v>
      </c>
      <c r="I142" s="274">
        <v>0.3</v>
      </c>
      <c r="J142" s="274"/>
      <c r="K142" s="274">
        <f>(F142+I142+J142)*0.5</f>
        <v>1.815</v>
      </c>
      <c r="L142" s="274"/>
      <c r="M142" s="274"/>
      <c r="N142" s="274"/>
      <c r="O142" s="274">
        <f>(F142+I142+J142+M142)*0.25</f>
        <v>0.9075</v>
      </c>
      <c r="P142" s="274"/>
      <c r="Q142" s="274"/>
      <c r="R142" s="274"/>
      <c r="S142" s="275"/>
      <c r="T142" s="274">
        <f>(F142+I142+J142)*30%</f>
        <v>1.089</v>
      </c>
      <c r="U142" s="274"/>
      <c r="V142" s="274"/>
      <c r="W142" s="274"/>
      <c r="X142" s="274">
        <f>(F142+I142)*0.225</f>
        <v>0.81675</v>
      </c>
      <c r="Y142" s="277">
        <f>E142*1490000*12</f>
        <v>160173510.00000003</v>
      </c>
      <c r="Z142" s="393"/>
      <c r="AA142" s="389">
        <f>AB142+AC142+AS142</f>
        <v>7.9799999999999995</v>
      </c>
      <c r="AB142" s="390">
        <v>3</v>
      </c>
      <c r="AC142" s="389">
        <f>SUM(AD142:AR142)</f>
        <v>4.26</v>
      </c>
      <c r="AD142" s="389">
        <v>0.7</v>
      </c>
      <c r="AE142" s="391">
        <v>0.2</v>
      </c>
      <c r="AF142" s="394"/>
      <c r="AG142" s="389">
        <f>(AB142+AE142)*50%</f>
        <v>1.6</v>
      </c>
      <c r="AH142" s="394"/>
      <c r="AI142" s="394"/>
      <c r="AJ142" s="394"/>
      <c r="AK142" s="389">
        <f>(AB142+AE142)*25%</f>
        <v>0.8</v>
      </c>
      <c r="AL142" s="394"/>
      <c r="AM142" s="394"/>
      <c r="AN142" s="394"/>
      <c r="AO142" s="394"/>
      <c r="AP142" s="389">
        <f>(AB142+AE142)*30%</f>
        <v>0.96</v>
      </c>
      <c r="AQ142" s="389"/>
      <c r="AR142" s="394"/>
      <c r="AS142" s="449">
        <f>(AB142+AE142)*22.5%</f>
        <v>0.7200000000000001</v>
      </c>
      <c r="AT142" s="392">
        <f>AA142*12*1490000</f>
        <v>142682400</v>
      </c>
      <c r="AU142" s="9"/>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row>
    <row r="143" spans="1:75" ht="31.5">
      <c r="A143" s="395" t="s">
        <v>7</v>
      </c>
      <c r="B143" s="396" t="s">
        <v>65</v>
      </c>
      <c r="C143" s="419"/>
      <c r="D143" s="419"/>
      <c r="E143" s="269">
        <f aca="true" t="shared" si="102" ref="E143:Y143">+E144</f>
        <v>10.800000000000004</v>
      </c>
      <c r="F143" s="269">
        <f t="shared" si="102"/>
        <v>0</v>
      </c>
      <c r="G143" s="269">
        <f t="shared" si="102"/>
        <v>10.800000000000004</v>
      </c>
      <c r="H143" s="269">
        <f t="shared" si="102"/>
        <v>0</v>
      </c>
      <c r="I143" s="269">
        <f t="shared" si="102"/>
        <v>0</v>
      </c>
      <c r="J143" s="269">
        <f t="shared" si="102"/>
        <v>0</v>
      </c>
      <c r="K143" s="269">
        <f t="shared" si="102"/>
        <v>0</v>
      </c>
      <c r="L143" s="269">
        <f t="shared" si="102"/>
        <v>0</v>
      </c>
      <c r="M143" s="269">
        <f t="shared" si="102"/>
        <v>0</v>
      </c>
      <c r="N143" s="269">
        <f t="shared" si="102"/>
        <v>0</v>
      </c>
      <c r="O143" s="269">
        <f t="shared" si="102"/>
        <v>0</v>
      </c>
      <c r="P143" s="269">
        <f t="shared" si="102"/>
        <v>0</v>
      </c>
      <c r="Q143" s="269">
        <f t="shared" si="102"/>
        <v>0</v>
      </c>
      <c r="R143" s="269">
        <f t="shared" si="102"/>
        <v>0</v>
      </c>
      <c r="S143" s="269">
        <f t="shared" si="102"/>
        <v>10.800000000000004</v>
      </c>
      <c r="T143" s="269">
        <f t="shared" si="102"/>
        <v>0</v>
      </c>
      <c r="U143" s="269">
        <f t="shared" si="102"/>
        <v>0</v>
      </c>
      <c r="V143" s="269">
        <f t="shared" si="102"/>
        <v>0</v>
      </c>
      <c r="W143" s="269">
        <f t="shared" si="102"/>
        <v>0</v>
      </c>
      <c r="X143" s="269">
        <f t="shared" si="102"/>
        <v>0</v>
      </c>
      <c r="Y143" s="269">
        <f t="shared" si="102"/>
        <v>193104000</v>
      </c>
      <c r="Z143" s="397">
        <v>1</v>
      </c>
      <c r="AA143" s="377">
        <f>AA144</f>
        <v>8.958250000000001</v>
      </c>
      <c r="AB143" s="377">
        <f aca="true" t="shared" si="103" ref="AB143:AS143">AB144</f>
        <v>3.33</v>
      </c>
      <c r="AC143" s="377">
        <f t="shared" si="103"/>
        <v>4.8115000000000006</v>
      </c>
      <c r="AD143" s="377">
        <f t="shared" si="103"/>
        <v>0.7</v>
      </c>
      <c r="AE143" s="377">
        <f t="shared" si="103"/>
        <v>0.3</v>
      </c>
      <c r="AF143" s="377">
        <f t="shared" si="103"/>
        <v>0</v>
      </c>
      <c r="AG143" s="377">
        <f t="shared" si="103"/>
        <v>1.815</v>
      </c>
      <c r="AH143" s="377">
        <f t="shared" si="103"/>
        <v>0</v>
      </c>
      <c r="AI143" s="377">
        <f t="shared" si="103"/>
        <v>0</v>
      </c>
      <c r="AJ143" s="377">
        <f t="shared" si="103"/>
        <v>0</v>
      </c>
      <c r="AK143" s="377">
        <f t="shared" si="103"/>
        <v>0.9075</v>
      </c>
      <c r="AL143" s="377">
        <f t="shared" si="103"/>
        <v>0</v>
      </c>
      <c r="AM143" s="377">
        <f t="shared" si="103"/>
        <v>0</v>
      </c>
      <c r="AN143" s="377">
        <f t="shared" si="103"/>
        <v>0</v>
      </c>
      <c r="AO143" s="377">
        <f t="shared" si="103"/>
        <v>0</v>
      </c>
      <c r="AP143" s="377">
        <f t="shared" si="103"/>
        <v>1.089</v>
      </c>
      <c r="AQ143" s="377">
        <f t="shared" si="103"/>
        <v>0</v>
      </c>
      <c r="AR143" s="377">
        <f t="shared" si="103"/>
        <v>0</v>
      </c>
      <c r="AS143" s="445">
        <f t="shared" si="103"/>
        <v>0.81675</v>
      </c>
      <c r="AT143" s="377">
        <f>AT144</f>
        <v>160173510.00000003</v>
      </c>
      <c r="AU143" s="9"/>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row>
    <row r="144" spans="1:75" ht="15.75">
      <c r="A144" s="398"/>
      <c r="B144" s="396" t="s">
        <v>64</v>
      </c>
      <c r="C144" s="419"/>
      <c r="D144" s="419"/>
      <c r="E144" s="274">
        <f aca="true" t="shared" si="104" ref="E144:U144">E145</f>
        <v>10.800000000000004</v>
      </c>
      <c r="F144" s="274">
        <f t="shared" si="104"/>
        <v>0</v>
      </c>
      <c r="G144" s="274">
        <f t="shared" si="104"/>
        <v>10.800000000000004</v>
      </c>
      <c r="H144" s="274">
        <f t="shared" si="104"/>
        <v>0</v>
      </c>
      <c r="I144" s="274">
        <f t="shared" si="104"/>
        <v>0</v>
      </c>
      <c r="J144" s="274">
        <f t="shared" si="104"/>
        <v>0</v>
      </c>
      <c r="K144" s="274">
        <f t="shared" si="104"/>
        <v>0</v>
      </c>
      <c r="L144" s="274">
        <f t="shared" si="104"/>
        <v>0</v>
      </c>
      <c r="M144" s="274">
        <f t="shared" si="104"/>
        <v>0</v>
      </c>
      <c r="N144" s="274">
        <f t="shared" si="104"/>
        <v>0</v>
      </c>
      <c r="O144" s="274">
        <f t="shared" si="104"/>
        <v>0</v>
      </c>
      <c r="P144" s="274">
        <f t="shared" si="104"/>
        <v>0</v>
      </c>
      <c r="Q144" s="274">
        <f t="shared" si="104"/>
        <v>0</v>
      </c>
      <c r="R144" s="274">
        <f t="shared" si="104"/>
        <v>0</v>
      </c>
      <c r="S144" s="274">
        <f t="shared" si="104"/>
        <v>10.800000000000004</v>
      </c>
      <c r="T144" s="274">
        <f t="shared" si="104"/>
        <v>0</v>
      </c>
      <c r="U144" s="274">
        <f t="shared" si="104"/>
        <v>0</v>
      </c>
      <c r="V144" s="274"/>
      <c r="W144" s="274">
        <f>W145</f>
        <v>0</v>
      </c>
      <c r="X144" s="274">
        <f>X145</f>
        <v>0</v>
      </c>
      <c r="Y144" s="277">
        <f>Y145</f>
        <v>193104000</v>
      </c>
      <c r="Z144" s="283"/>
      <c r="AA144" s="302">
        <f>AB144+AC144+AS144</f>
        <v>8.958250000000001</v>
      </c>
      <c r="AB144" s="380">
        <v>3.33</v>
      </c>
      <c r="AC144" s="302">
        <f>SUM(AD144:AR144)</f>
        <v>4.8115000000000006</v>
      </c>
      <c r="AD144" s="302">
        <v>0.7</v>
      </c>
      <c r="AE144" s="381">
        <v>0.3</v>
      </c>
      <c r="AF144" s="302"/>
      <c r="AG144" s="302">
        <f>(AB144+AE144)*50%</f>
        <v>1.815</v>
      </c>
      <c r="AH144" s="302"/>
      <c r="AI144" s="302"/>
      <c r="AJ144" s="302"/>
      <c r="AK144" s="302">
        <f>(AB144+AE144)*25%</f>
        <v>0.9075</v>
      </c>
      <c r="AL144" s="302"/>
      <c r="AM144" s="302"/>
      <c r="AN144" s="302"/>
      <c r="AO144" s="302"/>
      <c r="AP144" s="302">
        <f>(AB144+AE144)*30%</f>
        <v>1.089</v>
      </c>
      <c r="AQ144" s="302"/>
      <c r="AR144" s="302"/>
      <c r="AS144" s="432">
        <f>(AB144+AE144)*22.5%</f>
        <v>0.81675</v>
      </c>
      <c r="AT144" s="303">
        <f>AA144*12*1490000</f>
        <v>160173510.00000003</v>
      </c>
      <c r="AU144" s="9"/>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row>
    <row r="145" spans="1:75" ht="31.5">
      <c r="A145" s="398">
        <v>1</v>
      </c>
      <c r="B145" s="396" t="s">
        <v>63</v>
      </c>
      <c r="C145" s="419"/>
      <c r="D145" s="419"/>
      <c r="E145" s="269">
        <f aca="true" t="shared" si="105" ref="E145:U145">SUM(E146:E172)</f>
        <v>10.800000000000004</v>
      </c>
      <c r="F145" s="276">
        <f t="shared" si="105"/>
        <v>0</v>
      </c>
      <c r="G145" s="269">
        <f t="shared" si="105"/>
        <v>10.800000000000004</v>
      </c>
      <c r="H145" s="269">
        <f t="shared" si="105"/>
        <v>0</v>
      </c>
      <c r="I145" s="269">
        <f t="shared" si="105"/>
        <v>0</v>
      </c>
      <c r="J145" s="269">
        <f t="shared" si="105"/>
        <v>0</v>
      </c>
      <c r="K145" s="269">
        <f t="shared" si="105"/>
        <v>0</v>
      </c>
      <c r="L145" s="269">
        <f t="shared" si="105"/>
        <v>0</v>
      </c>
      <c r="M145" s="269">
        <f t="shared" si="105"/>
        <v>0</v>
      </c>
      <c r="N145" s="269">
        <f t="shared" si="105"/>
        <v>0</v>
      </c>
      <c r="O145" s="269">
        <f t="shared" si="105"/>
        <v>0</v>
      </c>
      <c r="P145" s="269">
        <f t="shared" si="105"/>
        <v>0</v>
      </c>
      <c r="Q145" s="269">
        <f t="shared" si="105"/>
        <v>0</v>
      </c>
      <c r="R145" s="269">
        <f t="shared" si="105"/>
        <v>0</v>
      </c>
      <c r="S145" s="276">
        <f t="shared" si="105"/>
        <v>10.800000000000004</v>
      </c>
      <c r="T145" s="269">
        <f t="shared" si="105"/>
        <v>0</v>
      </c>
      <c r="U145" s="269">
        <f t="shared" si="105"/>
        <v>0</v>
      </c>
      <c r="V145" s="269"/>
      <c r="W145" s="269">
        <f>SUM(W146:W172)</f>
        <v>0</v>
      </c>
      <c r="X145" s="269">
        <f>SUM(X146:X172)</f>
        <v>0</v>
      </c>
      <c r="Y145" s="270">
        <f>SUM(Y146:Y172)</f>
        <v>193104000</v>
      </c>
      <c r="Z145" s="397">
        <v>3</v>
      </c>
      <c r="AA145" s="377">
        <f>SUM(AA146:AA150)</f>
        <v>29.053499999999996</v>
      </c>
      <c r="AB145" s="377">
        <f aca="true" t="shared" si="106" ref="AB145:AS145">SUM(AB146:AB150)</f>
        <v>12.12</v>
      </c>
      <c r="AC145" s="377">
        <f t="shared" si="106"/>
        <v>14.094000000000001</v>
      </c>
      <c r="AD145" s="377">
        <f t="shared" si="106"/>
        <v>2.8</v>
      </c>
      <c r="AE145" s="377">
        <f t="shared" si="106"/>
        <v>0.5</v>
      </c>
      <c r="AF145" s="377">
        <f t="shared" si="106"/>
        <v>0</v>
      </c>
      <c r="AG145" s="377">
        <f t="shared" si="106"/>
        <v>5.140000000000001</v>
      </c>
      <c r="AH145" s="377">
        <f t="shared" si="106"/>
        <v>0</v>
      </c>
      <c r="AI145" s="377">
        <f t="shared" si="106"/>
        <v>0</v>
      </c>
      <c r="AJ145" s="377">
        <f t="shared" si="106"/>
        <v>0</v>
      </c>
      <c r="AK145" s="377">
        <f t="shared" si="106"/>
        <v>2.5700000000000003</v>
      </c>
      <c r="AL145" s="377">
        <f t="shared" si="106"/>
        <v>0</v>
      </c>
      <c r="AM145" s="377">
        <f t="shared" si="106"/>
        <v>0</v>
      </c>
      <c r="AN145" s="377">
        <f t="shared" si="106"/>
        <v>0</v>
      </c>
      <c r="AO145" s="377">
        <f t="shared" si="106"/>
        <v>0</v>
      </c>
      <c r="AP145" s="377">
        <f t="shared" si="106"/>
        <v>3.0839999999999996</v>
      </c>
      <c r="AQ145" s="377">
        <f t="shared" si="106"/>
        <v>0</v>
      </c>
      <c r="AR145" s="377">
        <f t="shared" si="106"/>
        <v>0</v>
      </c>
      <c r="AS145" s="445">
        <f t="shared" si="106"/>
        <v>2.8395</v>
      </c>
      <c r="AT145" s="377">
        <f>SUM(AT146:AT150)</f>
        <v>277662245</v>
      </c>
      <c r="AU145" s="9"/>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row>
    <row r="146" spans="1:75" ht="15.75">
      <c r="A146" s="399">
        <v>1</v>
      </c>
      <c r="B146" s="400" t="s">
        <v>38</v>
      </c>
      <c r="C146" s="420"/>
      <c r="D146" s="420"/>
      <c r="E146" s="274">
        <f aca="true" t="shared" si="107" ref="E146:E172">F146+G146+X146</f>
        <v>0.4</v>
      </c>
      <c r="F146" s="275"/>
      <c r="G146" s="274">
        <f aca="true" t="shared" si="108" ref="G146:G172">H146+I146+J146+K146+L146+M146+N146+O146+P146+Q146+R146+S146+T146+U146+W146</f>
        <v>0.4</v>
      </c>
      <c r="H146" s="274"/>
      <c r="I146" s="274"/>
      <c r="J146" s="274"/>
      <c r="K146" s="274"/>
      <c r="L146" s="274"/>
      <c r="M146" s="274"/>
      <c r="N146" s="274"/>
      <c r="O146" s="274"/>
      <c r="P146" s="274"/>
      <c r="Q146" s="274"/>
      <c r="R146" s="274"/>
      <c r="S146" s="275">
        <v>0.4</v>
      </c>
      <c r="T146" s="274"/>
      <c r="U146" s="274"/>
      <c r="V146" s="274"/>
      <c r="W146" s="274"/>
      <c r="X146" s="274"/>
      <c r="Y146" s="277">
        <f aca="true" t="shared" si="109" ref="Y146:Y172">E146*1490000*12</f>
        <v>7152000</v>
      </c>
      <c r="Z146" s="283"/>
      <c r="AA146" s="302">
        <f>AB146+AC146+AS146</f>
        <v>5.9325</v>
      </c>
      <c r="AB146" s="401">
        <v>2.1</v>
      </c>
      <c r="AC146" s="302">
        <f>SUM(AD146:AR146)</f>
        <v>3.315</v>
      </c>
      <c r="AD146" s="302">
        <v>0.7</v>
      </c>
      <c r="AE146" s="381">
        <v>0.2</v>
      </c>
      <c r="AF146" s="302"/>
      <c r="AG146" s="302">
        <f>(AB146+AE146)*50%</f>
        <v>1.1500000000000001</v>
      </c>
      <c r="AH146" s="302"/>
      <c r="AI146" s="302"/>
      <c r="AJ146" s="302"/>
      <c r="AK146" s="302">
        <f>(AB146+AE146)*25%</f>
        <v>0.5750000000000001</v>
      </c>
      <c r="AL146" s="302"/>
      <c r="AM146" s="302"/>
      <c r="AN146" s="302"/>
      <c r="AO146" s="302"/>
      <c r="AP146" s="302">
        <f>(AB146+AE146)*30%</f>
        <v>0.6900000000000001</v>
      </c>
      <c r="AQ146" s="302"/>
      <c r="AR146" s="302"/>
      <c r="AS146" s="432">
        <f>(AB146+AE146)*22.5%</f>
        <v>0.5175000000000001</v>
      </c>
      <c r="AT146" s="303">
        <f>AA146*12*1490000</f>
        <v>106073100</v>
      </c>
      <c r="AU146" s="11"/>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row>
    <row r="147" spans="1:75" ht="15.75">
      <c r="A147" s="399">
        <v>2</v>
      </c>
      <c r="B147" s="400" t="s">
        <v>62</v>
      </c>
      <c r="C147" s="420"/>
      <c r="D147" s="420"/>
      <c r="E147" s="274">
        <f t="shared" si="107"/>
        <v>0.4</v>
      </c>
      <c r="F147" s="275"/>
      <c r="G147" s="274">
        <f t="shared" si="108"/>
        <v>0.4</v>
      </c>
      <c r="H147" s="274"/>
      <c r="I147" s="274"/>
      <c r="J147" s="274"/>
      <c r="K147" s="274"/>
      <c r="L147" s="274"/>
      <c r="M147" s="274"/>
      <c r="N147" s="274"/>
      <c r="O147" s="274"/>
      <c r="P147" s="274"/>
      <c r="Q147" s="274"/>
      <c r="R147" s="274"/>
      <c r="S147" s="275">
        <v>0.4</v>
      </c>
      <c r="T147" s="274"/>
      <c r="U147" s="274"/>
      <c r="V147" s="274"/>
      <c r="W147" s="274"/>
      <c r="X147" s="274"/>
      <c r="Y147" s="277">
        <f t="shared" si="109"/>
        <v>7152000</v>
      </c>
      <c r="Z147" s="304"/>
      <c r="AA147" s="302">
        <f>AB147+AC147+AS147</f>
        <v>6.0235</v>
      </c>
      <c r="AB147" s="401">
        <v>2.34</v>
      </c>
      <c r="AC147" s="302">
        <f>SUM(AD147:AR147)</f>
        <v>3.157</v>
      </c>
      <c r="AD147" s="302">
        <v>0.7</v>
      </c>
      <c r="AE147" s="381"/>
      <c r="AF147" s="305"/>
      <c r="AG147" s="302">
        <f>(AB147+AE147)*50%</f>
        <v>1.17</v>
      </c>
      <c r="AH147" s="305"/>
      <c r="AI147" s="305"/>
      <c r="AJ147" s="305"/>
      <c r="AK147" s="302">
        <f>(AB147+AE147)*25%</f>
        <v>0.585</v>
      </c>
      <c r="AL147" s="302"/>
      <c r="AM147" s="305"/>
      <c r="AN147" s="305"/>
      <c r="AO147" s="305"/>
      <c r="AP147" s="302">
        <f>(AB147+AE147)*30%</f>
        <v>0.702</v>
      </c>
      <c r="AQ147" s="302"/>
      <c r="AR147" s="305"/>
      <c r="AS147" s="432">
        <f>(AB147+AE147)*22.5%</f>
        <v>0.5265</v>
      </c>
      <c r="AT147" s="303">
        <f>AA147*1*1490000</f>
        <v>8975015</v>
      </c>
      <c r="AU147" s="11"/>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row>
    <row r="148" spans="1:75" ht="15.75">
      <c r="A148" s="399">
        <v>3</v>
      </c>
      <c r="B148" s="400" t="s">
        <v>34</v>
      </c>
      <c r="C148" s="420"/>
      <c r="D148" s="420"/>
      <c r="E148" s="274">
        <f t="shared" si="107"/>
        <v>0.4</v>
      </c>
      <c r="F148" s="275"/>
      <c r="G148" s="274">
        <f t="shared" si="108"/>
        <v>0.4</v>
      </c>
      <c r="H148" s="274"/>
      <c r="I148" s="274"/>
      <c r="J148" s="274"/>
      <c r="K148" s="274"/>
      <c r="L148" s="274"/>
      <c r="M148" s="274"/>
      <c r="N148" s="274"/>
      <c r="O148" s="274"/>
      <c r="P148" s="274"/>
      <c r="Q148" s="274"/>
      <c r="R148" s="274"/>
      <c r="S148" s="275">
        <v>0.4</v>
      </c>
      <c r="T148" s="274"/>
      <c r="U148" s="274"/>
      <c r="V148" s="274"/>
      <c r="W148" s="274"/>
      <c r="X148" s="274"/>
      <c r="Y148" s="277">
        <f t="shared" si="109"/>
        <v>7152000</v>
      </c>
      <c r="Z148" s="304"/>
      <c r="AA148" s="302">
        <f>AB148+AC148+AS148</f>
        <v>6.774249999999999</v>
      </c>
      <c r="AB148" s="402">
        <v>2.67</v>
      </c>
      <c r="AC148" s="302">
        <f>SUM(AD148:AR148)</f>
        <v>3.5035</v>
      </c>
      <c r="AD148" s="302">
        <v>0.7</v>
      </c>
      <c r="AE148" s="403"/>
      <c r="AF148" s="305"/>
      <c r="AG148" s="302">
        <f>(AB148+AE148)*50%</f>
        <v>1.335</v>
      </c>
      <c r="AH148" s="305"/>
      <c r="AI148" s="305"/>
      <c r="AJ148" s="305"/>
      <c r="AK148" s="302">
        <f>(AB148+AE148)*25%</f>
        <v>0.6675</v>
      </c>
      <c r="AL148" s="305"/>
      <c r="AM148" s="305"/>
      <c r="AN148" s="305"/>
      <c r="AO148" s="305"/>
      <c r="AP148" s="302">
        <f>(AB148+AE148)*30%</f>
        <v>0.8009999999999999</v>
      </c>
      <c r="AQ148" s="302"/>
      <c r="AR148" s="305"/>
      <c r="AS148" s="432">
        <f>(AB148+AE148)*22.5%</f>
        <v>0.60075</v>
      </c>
      <c r="AT148" s="303">
        <f>AA148*9*1490000</f>
        <v>90842692.5</v>
      </c>
      <c r="AU148" s="11"/>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row>
    <row r="149" spans="1:75" ht="15.75">
      <c r="A149" s="399">
        <v>4</v>
      </c>
      <c r="B149" s="400" t="s">
        <v>61</v>
      </c>
      <c r="C149" s="420"/>
      <c r="D149" s="420"/>
      <c r="E149" s="274">
        <f t="shared" si="107"/>
        <v>0.4</v>
      </c>
      <c r="F149" s="275"/>
      <c r="G149" s="274">
        <f t="shared" si="108"/>
        <v>0.4</v>
      </c>
      <c r="H149" s="274"/>
      <c r="I149" s="274"/>
      <c r="J149" s="274"/>
      <c r="K149" s="274"/>
      <c r="L149" s="274"/>
      <c r="M149" s="274"/>
      <c r="N149" s="274"/>
      <c r="O149" s="274"/>
      <c r="P149" s="274"/>
      <c r="Q149" s="274"/>
      <c r="R149" s="274"/>
      <c r="S149" s="275">
        <v>0.4</v>
      </c>
      <c r="T149" s="274"/>
      <c r="U149" s="274"/>
      <c r="V149" s="274"/>
      <c r="W149" s="274"/>
      <c r="X149" s="274"/>
      <c r="Y149" s="277">
        <f t="shared" si="109"/>
        <v>7152000</v>
      </c>
      <c r="Z149" s="283"/>
      <c r="AA149" s="302">
        <f>AB149+AC149+AS149</f>
        <v>2.8665</v>
      </c>
      <c r="AB149" s="302">
        <v>2.34</v>
      </c>
      <c r="AC149" s="302">
        <f>SUM(AD149:AR149)</f>
        <v>0</v>
      </c>
      <c r="AD149" s="302">
        <v>0</v>
      </c>
      <c r="AE149" s="283">
        <v>0</v>
      </c>
      <c r="AF149" s="283"/>
      <c r="AG149" s="302">
        <v>0</v>
      </c>
      <c r="AH149" s="283"/>
      <c r="AI149" s="283"/>
      <c r="AJ149" s="283"/>
      <c r="AK149" s="283"/>
      <c r="AL149" s="283"/>
      <c r="AM149" s="283"/>
      <c r="AN149" s="283"/>
      <c r="AO149" s="283"/>
      <c r="AP149" s="302"/>
      <c r="AQ149" s="283"/>
      <c r="AR149" s="283"/>
      <c r="AS149" s="432">
        <f>(AB149+AE149)*22.5%</f>
        <v>0.5265</v>
      </c>
      <c r="AT149" s="303">
        <f>AA149*9*1490000</f>
        <v>38439764.99999999</v>
      </c>
      <c r="AU149" s="11"/>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row>
    <row r="150" spans="1:75" ht="15.75">
      <c r="A150" s="399">
        <v>5</v>
      </c>
      <c r="B150" s="400" t="s">
        <v>60</v>
      </c>
      <c r="C150" s="420"/>
      <c r="D150" s="420"/>
      <c r="E150" s="274">
        <f t="shared" si="107"/>
        <v>0.4</v>
      </c>
      <c r="F150" s="275"/>
      <c r="G150" s="274">
        <f t="shared" si="108"/>
        <v>0.4</v>
      </c>
      <c r="H150" s="274"/>
      <c r="I150" s="274"/>
      <c r="J150" s="274"/>
      <c r="K150" s="274"/>
      <c r="L150" s="274"/>
      <c r="M150" s="274"/>
      <c r="N150" s="274"/>
      <c r="O150" s="274"/>
      <c r="P150" s="274"/>
      <c r="Q150" s="274"/>
      <c r="R150" s="274"/>
      <c r="S150" s="275">
        <v>0.4</v>
      </c>
      <c r="T150" s="274"/>
      <c r="U150" s="274"/>
      <c r="V150" s="274"/>
      <c r="W150" s="274"/>
      <c r="X150" s="274"/>
      <c r="Y150" s="277">
        <f t="shared" si="109"/>
        <v>7152000</v>
      </c>
      <c r="Z150" s="404"/>
      <c r="AA150" s="302">
        <f>AB150+AC150+AS150</f>
        <v>7.4567499999999995</v>
      </c>
      <c r="AB150" s="404">
        <v>2.67</v>
      </c>
      <c r="AC150" s="302">
        <f>SUM(AD150:AR150)</f>
        <v>4.1185</v>
      </c>
      <c r="AD150" s="404">
        <v>0.7</v>
      </c>
      <c r="AE150" s="404">
        <v>0.3</v>
      </c>
      <c r="AF150" s="404"/>
      <c r="AG150" s="404">
        <f>(AB150+AE150)*50%</f>
        <v>1.4849999999999999</v>
      </c>
      <c r="AH150" s="404"/>
      <c r="AI150" s="404"/>
      <c r="AJ150" s="404"/>
      <c r="AK150" s="404">
        <f>(AB150+AE150)*25%</f>
        <v>0.7424999999999999</v>
      </c>
      <c r="AL150" s="404"/>
      <c r="AM150" s="404"/>
      <c r="AN150" s="404"/>
      <c r="AO150" s="404"/>
      <c r="AP150" s="302">
        <f>(AB150+AE150)*30%</f>
        <v>0.8909999999999999</v>
      </c>
      <c r="AQ150" s="404"/>
      <c r="AR150" s="404"/>
      <c r="AS150" s="432">
        <f>(AB150+AE150)*22.5%</f>
        <v>0.66825</v>
      </c>
      <c r="AT150" s="405">
        <f>AA150*1490000*3</f>
        <v>33331672.5</v>
      </c>
      <c r="AU150" s="11"/>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row>
    <row r="151" spans="1:75" ht="15.75">
      <c r="A151" s="399">
        <v>6</v>
      </c>
      <c r="B151" s="400" t="s">
        <v>59</v>
      </c>
      <c r="C151" s="420"/>
      <c r="D151" s="420"/>
      <c r="E151" s="274">
        <f t="shared" si="107"/>
        <v>0.4</v>
      </c>
      <c r="F151" s="275"/>
      <c r="G151" s="274">
        <f t="shared" si="108"/>
        <v>0.4</v>
      </c>
      <c r="H151" s="274"/>
      <c r="I151" s="274"/>
      <c r="J151" s="274"/>
      <c r="K151" s="274"/>
      <c r="L151" s="274"/>
      <c r="M151" s="274"/>
      <c r="N151" s="274"/>
      <c r="O151" s="274"/>
      <c r="P151" s="274"/>
      <c r="Q151" s="274"/>
      <c r="R151" s="274"/>
      <c r="S151" s="275">
        <v>0.4</v>
      </c>
      <c r="T151" s="274"/>
      <c r="U151" s="274"/>
      <c r="V151" s="274"/>
      <c r="W151" s="274"/>
      <c r="X151" s="274"/>
      <c r="Y151" s="277">
        <f t="shared" si="109"/>
        <v>7152000</v>
      </c>
      <c r="Z151" s="406"/>
      <c r="AA151" s="407"/>
      <c r="AB151" s="406"/>
      <c r="AC151" s="406"/>
      <c r="AD151" s="406"/>
      <c r="AE151" s="406"/>
      <c r="AF151" s="406"/>
      <c r="AG151" s="406"/>
      <c r="AH151" s="406"/>
      <c r="AI151" s="406"/>
      <c r="AJ151" s="406"/>
      <c r="AK151" s="406"/>
      <c r="AL151" s="406"/>
      <c r="AM151" s="406"/>
      <c r="AN151" s="406"/>
      <c r="AO151" s="406"/>
      <c r="AP151" s="406"/>
      <c r="AQ151" s="406"/>
      <c r="AR151" s="406"/>
      <c r="AS151" s="406"/>
      <c r="AT151" s="405"/>
      <c r="AU151" s="11"/>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row>
    <row r="152" spans="1:75" ht="15.75">
      <c r="A152" s="399">
        <v>7</v>
      </c>
      <c r="B152" s="400" t="s">
        <v>25</v>
      </c>
      <c r="C152" s="420"/>
      <c r="D152" s="420"/>
      <c r="E152" s="274">
        <f t="shared" si="107"/>
        <v>0.4</v>
      </c>
      <c r="F152" s="275"/>
      <c r="G152" s="274">
        <f t="shared" si="108"/>
        <v>0.4</v>
      </c>
      <c r="H152" s="274"/>
      <c r="I152" s="274"/>
      <c r="J152" s="274"/>
      <c r="K152" s="274"/>
      <c r="L152" s="274"/>
      <c r="M152" s="274"/>
      <c r="N152" s="274"/>
      <c r="O152" s="274"/>
      <c r="P152" s="274"/>
      <c r="Q152" s="274"/>
      <c r="R152" s="274"/>
      <c r="S152" s="275">
        <v>0.4</v>
      </c>
      <c r="T152" s="274"/>
      <c r="U152" s="274"/>
      <c r="V152" s="274"/>
      <c r="W152" s="274"/>
      <c r="X152" s="274"/>
      <c r="Y152" s="277">
        <f t="shared" si="109"/>
        <v>7152000</v>
      </c>
      <c r="Z152" s="406"/>
      <c r="AA152" s="407"/>
      <c r="AB152" s="406"/>
      <c r="AC152" s="406"/>
      <c r="AD152" s="406"/>
      <c r="AE152" s="406"/>
      <c r="AF152" s="406"/>
      <c r="AG152" s="406"/>
      <c r="AH152" s="406"/>
      <c r="AI152" s="406"/>
      <c r="AJ152" s="406"/>
      <c r="AK152" s="406"/>
      <c r="AL152" s="406"/>
      <c r="AM152" s="406"/>
      <c r="AN152" s="406"/>
      <c r="AO152" s="406"/>
      <c r="AP152" s="406"/>
      <c r="AQ152" s="406"/>
      <c r="AR152" s="406"/>
      <c r="AS152" s="406"/>
      <c r="AT152" s="405"/>
      <c r="AU152" s="11"/>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row>
    <row r="153" spans="1:75" ht="15.75">
      <c r="A153" s="399">
        <v>8</v>
      </c>
      <c r="B153" s="400" t="s">
        <v>58</v>
      </c>
      <c r="C153" s="420"/>
      <c r="D153" s="420"/>
      <c r="E153" s="274">
        <f t="shared" si="107"/>
        <v>0.4</v>
      </c>
      <c r="F153" s="275"/>
      <c r="G153" s="274">
        <f t="shared" si="108"/>
        <v>0.4</v>
      </c>
      <c r="H153" s="274"/>
      <c r="I153" s="274"/>
      <c r="J153" s="274"/>
      <c r="K153" s="274"/>
      <c r="L153" s="274"/>
      <c r="M153" s="274"/>
      <c r="N153" s="274"/>
      <c r="O153" s="274"/>
      <c r="P153" s="274"/>
      <c r="Q153" s="274"/>
      <c r="R153" s="274"/>
      <c r="S153" s="275">
        <v>0.4</v>
      </c>
      <c r="T153" s="274"/>
      <c r="U153" s="274"/>
      <c r="V153" s="274"/>
      <c r="W153" s="274"/>
      <c r="X153" s="274"/>
      <c r="Y153" s="277">
        <f t="shared" si="109"/>
        <v>7152000</v>
      </c>
      <c r="Z153" s="406"/>
      <c r="AA153" s="407"/>
      <c r="AB153" s="406"/>
      <c r="AC153" s="406"/>
      <c r="AD153" s="406"/>
      <c r="AE153" s="406"/>
      <c r="AF153" s="406"/>
      <c r="AG153" s="406"/>
      <c r="AH153" s="406"/>
      <c r="AI153" s="406"/>
      <c r="AJ153" s="406"/>
      <c r="AK153" s="406"/>
      <c r="AL153" s="406"/>
      <c r="AM153" s="406"/>
      <c r="AN153" s="406"/>
      <c r="AO153" s="406"/>
      <c r="AP153" s="406"/>
      <c r="AQ153" s="406"/>
      <c r="AR153" s="406"/>
      <c r="AS153" s="406"/>
      <c r="AT153" s="405"/>
      <c r="AU153" s="11"/>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row>
    <row r="154" spans="1:75" ht="15.75">
      <c r="A154" s="399">
        <v>9</v>
      </c>
      <c r="B154" s="400" t="s">
        <v>57</v>
      </c>
      <c r="C154" s="420"/>
      <c r="D154" s="420"/>
      <c r="E154" s="274">
        <f t="shared" si="107"/>
        <v>0.4</v>
      </c>
      <c r="F154" s="275"/>
      <c r="G154" s="274">
        <f t="shared" si="108"/>
        <v>0.4</v>
      </c>
      <c r="H154" s="274"/>
      <c r="I154" s="274"/>
      <c r="J154" s="274"/>
      <c r="K154" s="274"/>
      <c r="L154" s="274"/>
      <c r="M154" s="274"/>
      <c r="N154" s="274"/>
      <c r="O154" s="274"/>
      <c r="P154" s="274"/>
      <c r="Q154" s="274"/>
      <c r="R154" s="274"/>
      <c r="S154" s="275">
        <v>0.4</v>
      </c>
      <c r="T154" s="274"/>
      <c r="U154" s="274"/>
      <c r="V154" s="274"/>
      <c r="W154" s="274"/>
      <c r="X154" s="274"/>
      <c r="Y154" s="277">
        <f t="shared" si="109"/>
        <v>7152000</v>
      </c>
      <c r="Z154" s="406"/>
      <c r="AA154" s="407"/>
      <c r="AB154" s="406"/>
      <c r="AC154" s="406"/>
      <c r="AD154" s="406"/>
      <c r="AE154" s="406"/>
      <c r="AF154" s="406"/>
      <c r="AG154" s="406"/>
      <c r="AH154" s="406"/>
      <c r="AI154" s="406"/>
      <c r="AJ154" s="406"/>
      <c r="AK154" s="406"/>
      <c r="AL154" s="406"/>
      <c r="AM154" s="406"/>
      <c r="AN154" s="406"/>
      <c r="AO154" s="406"/>
      <c r="AP154" s="406"/>
      <c r="AQ154" s="406"/>
      <c r="AR154" s="406"/>
      <c r="AS154" s="406"/>
      <c r="AT154" s="405"/>
      <c r="AU154" s="11"/>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row>
    <row r="155" spans="1:75" ht="15.75">
      <c r="A155" s="399">
        <v>10</v>
      </c>
      <c r="B155" s="400" t="s">
        <v>56</v>
      </c>
      <c r="C155" s="420"/>
      <c r="D155" s="420"/>
      <c r="E155" s="274">
        <f t="shared" si="107"/>
        <v>0.4</v>
      </c>
      <c r="F155" s="275"/>
      <c r="G155" s="274">
        <f t="shared" si="108"/>
        <v>0.4</v>
      </c>
      <c r="H155" s="274"/>
      <c r="I155" s="274"/>
      <c r="J155" s="274"/>
      <c r="K155" s="274"/>
      <c r="L155" s="274"/>
      <c r="M155" s="274"/>
      <c r="N155" s="274"/>
      <c r="O155" s="274"/>
      <c r="P155" s="274"/>
      <c r="Q155" s="274"/>
      <c r="R155" s="274"/>
      <c r="S155" s="275">
        <v>0.4</v>
      </c>
      <c r="T155" s="274"/>
      <c r="U155" s="274"/>
      <c r="V155" s="274"/>
      <c r="W155" s="274"/>
      <c r="X155" s="274"/>
      <c r="Y155" s="277">
        <f t="shared" si="109"/>
        <v>7152000</v>
      </c>
      <c r="Z155" s="406"/>
      <c r="AA155" s="407"/>
      <c r="AB155" s="406"/>
      <c r="AC155" s="406"/>
      <c r="AD155" s="406"/>
      <c r="AE155" s="406"/>
      <c r="AF155" s="406"/>
      <c r="AG155" s="406"/>
      <c r="AH155" s="406"/>
      <c r="AI155" s="406"/>
      <c r="AJ155" s="406"/>
      <c r="AK155" s="406"/>
      <c r="AL155" s="406"/>
      <c r="AM155" s="406"/>
      <c r="AN155" s="406"/>
      <c r="AO155" s="406"/>
      <c r="AP155" s="406"/>
      <c r="AQ155" s="406"/>
      <c r="AR155" s="406"/>
      <c r="AS155" s="406"/>
      <c r="AT155" s="405"/>
      <c r="AU155" s="11"/>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row>
    <row r="156" spans="1:75" ht="15.75">
      <c r="A156" s="399">
        <v>11</v>
      </c>
      <c r="B156" s="400" t="s">
        <v>55</v>
      </c>
      <c r="C156" s="420"/>
      <c r="D156" s="420"/>
      <c r="E156" s="274">
        <f t="shared" si="107"/>
        <v>0.4</v>
      </c>
      <c r="F156" s="275"/>
      <c r="G156" s="274">
        <f t="shared" si="108"/>
        <v>0.4</v>
      </c>
      <c r="H156" s="274"/>
      <c r="I156" s="274"/>
      <c r="J156" s="274"/>
      <c r="K156" s="274"/>
      <c r="L156" s="274"/>
      <c r="M156" s="274"/>
      <c r="N156" s="274"/>
      <c r="O156" s="274"/>
      <c r="P156" s="274"/>
      <c r="Q156" s="274"/>
      <c r="R156" s="274"/>
      <c r="S156" s="275">
        <v>0.4</v>
      </c>
      <c r="T156" s="274"/>
      <c r="U156" s="274"/>
      <c r="V156" s="274"/>
      <c r="W156" s="274"/>
      <c r="X156" s="274"/>
      <c r="Y156" s="277">
        <f t="shared" si="109"/>
        <v>7152000</v>
      </c>
      <c r="Z156" s="406"/>
      <c r="AA156" s="407"/>
      <c r="AB156" s="406"/>
      <c r="AC156" s="406"/>
      <c r="AD156" s="406"/>
      <c r="AE156" s="406"/>
      <c r="AF156" s="406"/>
      <c r="AG156" s="406"/>
      <c r="AH156" s="406"/>
      <c r="AI156" s="406"/>
      <c r="AJ156" s="406"/>
      <c r="AK156" s="406"/>
      <c r="AL156" s="406"/>
      <c r="AM156" s="406"/>
      <c r="AN156" s="406"/>
      <c r="AO156" s="406"/>
      <c r="AP156" s="406"/>
      <c r="AQ156" s="406"/>
      <c r="AR156" s="406"/>
      <c r="AS156" s="406"/>
      <c r="AT156" s="405"/>
      <c r="AU156" s="11"/>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row>
    <row r="157" spans="1:75" ht="15.75">
      <c r="A157" s="399">
        <v>12</v>
      </c>
      <c r="B157" s="400" t="s">
        <v>54</v>
      </c>
      <c r="C157" s="420"/>
      <c r="D157" s="420"/>
      <c r="E157" s="274">
        <f t="shared" si="107"/>
        <v>0.4</v>
      </c>
      <c r="F157" s="275"/>
      <c r="G157" s="274">
        <f t="shared" si="108"/>
        <v>0.4</v>
      </c>
      <c r="H157" s="274"/>
      <c r="I157" s="274"/>
      <c r="J157" s="274"/>
      <c r="K157" s="274"/>
      <c r="L157" s="274"/>
      <c r="M157" s="274"/>
      <c r="N157" s="274"/>
      <c r="O157" s="274"/>
      <c r="P157" s="274"/>
      <c r="Q157" s="274"/>
      <c r="R157" s="274"/>
      <c r="S157" s="275">
        <v>0.4</v>
      </c>
      <c r="T157" s="274"/>
      <c r="U157" s="274"/>
      <c r="V157" s="274"/>
      <c r="W157" s="274"/>
      <c r="X157" s="274"/>
      <c r="Y157" s="277">
        <f t="shared" si="109"/>
        <v>7152000</v>
      </c>
      <c r="Z157" s="406"/>
      <c r="AA157" s="407"/>
      <c r="AB157" s="406"/>
      <c r="AC157" s="406"/>
      <c r="AD157" s="406"/>
      <c r="AE157" s="406"/>
      <c r="AF157" s="406"/>
      <c r="AG157" s="406"/>
      <c r="AH157" s="406"/>
      <c r="AI157" s="406"/>
      <c r="AJ157" s="406"/>
      <c r="AK157" s="406"/>
      <c r="AL157" s="406"/>
      <c r="AM157" s="406"/>
      <c r="AN157" s="406"/>
      <c r="AO157" s="406"/>
      <c r="AP157" s="406"/>
      <c r="AQ157" s="406"/>
      <c r="AR157" s="406"/>
      <c r="AS157" s="406"/>
      <c r="AT157" s="405"/>
      <c r="AU157" s="11"/>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row>
    <row r="158" spans="1:75" ht="15.75">
      <c r="A158" s="399">
        <v>13</v>
      </c>
      <c r="B158" s="400" t="s">
        <v>36</v>
      </c>
      <c r="C158" s="420"/>
      <c r="D158" s="420"/>
      <c r="E158" s="274">
        <f t="shared" si="107"/>
        <v>0.4</v>
      </c>
      <c r="F158" s="275"/>
      <c r="G158" s="274">
        <f t="shared" si="108"/>
        <v>0.4</v>
      </c>
      <c r="H158" s="274"/>
      <c r="I158" s="274"/>
      <c r="J158" s="274"/>
      <c r="K158" s="274"/>
      <c r="L158" s="274"/>
      <c r="M158" s="274"/>
      <c r="N158" s="274"/>
      <c r="O158" s="274"/>
      <c r="P158" s="274"/>
      <c r="Q158" s="274"/>
      <c r="R158" s="274"/>
      <c r="S158" s="275">
        <v>0.4</v>
      </c>
      <c r="T158" s="274"/>
      <c r="U158" s="274"/>
      <c r="V158" s="274"/>
      <c r="W158" s="274"/>
      <c r="X158" s="274"/>
      <c r="Y158" s="277">
        <f t="shared" si="109"/>
        <v>7152000</v>
      </c>
      <c r="Z158" s="406"/>
      <c r="AA158" s="407"/>
      <c r="AB158" s="406"/>
      <c r="AC158" s="406"/>
      <c r="AD158" s="406"/>
      <c r="AE158" s="406"/>
      <c r="AF158" s="406"/>
      <c r="AG158" s="406"/>
      <c r="AH158" s="406"/>
      <c r="AI158" s="406"/>
      <c r="AJ158" s="406"/>
      <c r="AK158" s="406"/>
      <c r="AL158" s="406"/>
      <c r="AM158" s="406"/>
      <c r="AN158" s="406"/>
      <c r="AO158" s="406"/>
      <c r="AP158" s="406"/>
      <c r="AQ158" s="406"/>
      <c r="AR158" s="406"/>
      <c r="AS158" s="406"/>
      <c r="AT158" s="405"/>
      <c r="AU158" s="11"/>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row>
    <row r="159" spans="1:75" ht="15.75">
      <c r="A159" s="399">
        <v>14</v>
      </c>
      <c r="B159" s="400" t="s">
        <v>19</v>
      </c>
      <c r="C159" s="420"/>
      <c r="D159" s="420"/>
      <c r="E159" s="274">
        <f t="shared" si="107"/>
        <v>0.4</v>
      </c>
      <c r="F159" s="275"/>
      <c r="G159" s="274">
        <f t="shared" si="108"/>
        <v>0.4</v>
      </c>
      <c r="H159" s="274"/>
      <c r="I159" s="274"/>
      <c r="J159" s="274"/>
      <c r="K159" s="274"/>
      <c r="L159" s="274"/>
      <c r="M159" s="274"/>
      <c r="N159" s="274"/>
      <c r="O159" s="274"/>
      <c r="P159" s="274"/>
      <c r="Q159" s="274"/>
      <c r="R159" s="274"/>
      <c r="S159" s="275">
        <v>0.4</v>
      </c>
      <c r="T159" s="274"/>
      <c r="U159" s="274"/>
      <c r="V159" s="274"/>
      <c r="W159" s="274"/>
      <c r="X159" s="274"/>
      <c r="Y159" s="277">
        <f t="shared" si="109"/>
        <v>7152000</v>
      </c>
      <c r="Z159" s="406"/>
      <c r="AA159" s="407"/>
      <c r="AB159" s="406"/>
      <c r="AC159" s="406"/>
      <c r="AD159" s="406"/>
      <c r="AE159" s="406"/>
      <c r="AF159" s="406"/>
      <c r="AG159" s="406"/>
      <c r="AH159" s="406"/>
      <c r="AI159" s="406"/>
      <c r="AJ159" s="406"/>
      <c r="AK159" s="406"/>
      <c r="AL159" s="406"/>
      <c r="AM159" s="406"/>
      <c r="AN159" s="406"/>
      <c r="AO159" s="406"/>
      <c r="AP159" s="406"/>
      <c r="AQ159" s="406"/>
      <c r="AR159" s="406"/>
      <c r="AS159" s="406"/>
      <c r="AT159" s="405"/>
      <c r="AU159" s="11"/>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row>
    <row r="160" spans="1:75" ht="15.75">
      <c r="A160" s="399">
        <v>15</v>
      </c>
      <c r="B160" s="400" t="s">
        <v>27</v>
      </c>
      <c r="C160" s="420"/>
      <c r="D160" s="420"/>
      <c r="E160" s="274">
        <f t="shared" si="107"/>
        <v>0.4</v>
      </c>
      <c r="F160" s="275"/>
      <c r="G160" s="274">
        <f t="shared" si="108"/>
        <v>0.4</v>
      </c>
      <c r="H160" s="274"/>
      <c r="I160" s="274"/>
      <c r="J160" s="274"/>
      <c r="K160" s="274"/>
      <c r="L160" s="274"/>
      <c r="M160" s="274"/>
      <c r="N160" s="274"/>
      <c r="O160" s="274"/>
      <c r="P160" s="274"/>
      <c r="Q160" s="274"/>
      <c r="R160" s="274"/>
      <c r="S160" s="275">
        <v>0.4</v>
      </c>
      <c r="T160" s="274"/>
      <c r="U160" s="274"/>
      <c r="V160" s="274"/>
      <c r="W160" s="274"/>
      <c r="X160" s="274"/>
      <c r="Y160" s="277">
        <f t="shared" si="109"/>
        <v>7152000</v>
      </c>
      <c r="Z160" s="406"/>
      <c r="AA160" s="407"/>
      <c r="AB160" s="406"/>
      <c r="AC160" s="406"/>
      <c r="AD160" s="406"/>
      <c r="AE160" s="406"/>
      <c r="AF160" s="406"/>
      <c r="AG160" s="406"/>
      <c r="AH160" s="406"/>
      <c r="AI160" s="406"/>
      <c r="AJ160" s="406"/>
      <c r="AK160" s="406"/>
      <c r="AL160" s="406"/>
      <c r="AM160" s="406"/>
      <c r="AN160" s="406"/>
      <c r="AO160" s="406"/>
      <c r="AP160" s="406"/>
      <c r="AQ160" s="406"/>
      <c r="AR160" s="406"/>
      <c r="AS160" s="406"/>
      <c r="AT160" s="405"/>
      <c r="AU160" s="11"/>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row>
    <row r="161" spans="1:75" ht="15.75">
      <c r="A161" s="399">
        <v>16</v>
      </c>
      <c r="B161" s="400" t="s">
        <v>53</v>
      </c>
      <c r="C161" s="420"/>
      <c r="D161" s="420"/>
      <c r="E161" s="274">
        <f t="shared" si="107"/>
        <v>0.4</v>
      </c>
      <c r="F161" s="275"/>
      <c r="G161" s="274">
        <f t="shared" si="108"/>
        <v>0.4</v>
      </c>
      <c r="H161" s="274"/>
      <c r="I161" s="274"/>
      <c r="J161" s="274"/>
      <c r="K161" s="274"/>
      <c r="L161" s="274"/>
      <c r="M161" s="274"/>
      <c r="N161" s="274"/>
      <c r="O161" s="274"/>
      <c r="P161" s="274"/>
      <c r="Q161" s="274"/>
      <c r="R161" s="274"/>
      <c r="S161" s="275">
        <v>0.4</v>
      </c>
      <c r="T161" s="274"/>
      <c r="U161" s="274"/>
      <c r="V161" s="274"/>
      <c r="W161" s="274"/>
      <c r="X161" s="274"/>
      <c r="Y161" s="277">
        <f t="shared" si="109"/>
        <v>7152000</v>
      </c>
      <c r="Z161" s="406"/>
      <c r="AA161" s="407"/>
      <c r="AB161" s="406"/>
      <c r="AC161" s="406"/>
      <c r="AD161" s="406"/>
      <c r="AE161" s="406"/>
      <c r="AF161" s="406"/>
      <c r="AG161" s="406"/>
      <c r="AH161" s="406"/>
      <c r="AI161" s="406"/>
      <c r="AJ161" s="406"/>
      <c r="AK161" s="406"/>
      <c r="AL161" s="406"/>
      <c r="AM161" s="406"/>
      <c r="AN161" s="406"/>
      <c r="AO161" s="406"/>
      <c r="AP161" s="406"/>
      <c r="AQ161" s="406"/>
      <c r="AR161" s="406"/>
      <c r="AS161" s="406"/>
      <c r="AT161" s="405"/>
      <c r="AU161" s="11"/>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row>
    <row r="162" spans="1:75" ht="15.75">
      <c r="A162" s="399">
        <v>17</v>
      </c>
      <c r="B162" s="400" t="s">
        <v>52</v>
      </c>
      <c r="C162" s="420"/>
      <c r="D162" s="420"/>
      <c r="E162" s="274">
        <f t="shared" si="107"/>
        <v>0.4</v>
      </c>
      <c r="F162" s="275"/>
      <c r="G162" s="274">
        <f t="shared" si="108"/>
        <v>0.4</v>
      </c>
      <c r="H162" s="274"/>
      <c r="I162" s="274"/>
      <c r="J162" s="274"/>
      <c r="K162" s="274"/>
      <c r="L162" s="274"/>
      <c r="M162" s="274"/>
      <c r="N162" s="274"/>
      <c r="O162" s="274"/>
      <c r="P162" s="274"/>
      <c r="Q162" s="274"/>
      <c r="R162" s="274"/>
      <c r="S162" s="275">
        <v>0.4</v>
      </c>
      <c r="T162" s="274"/>
      <c r="U162" s="274"/>
      <c r="V162" s="274"/>
      <c r="W162" s="274"/>
      <c r="X162" s="274"/>
      <c r="Y162" s="277">
        <f t="shared" si="109"/>
        <v>7152000</v>
      </c>
      <c r="Z162" s="406"/>
      <c r="AA162" s="407"/>
      <c r="AB162" s="406"/>
      <c r="AC162" s="406"/>
      <c r="AD162" s="406"/>
      <c r="AE162" s="406"/>
      <c r="AF162" s="406"/>
      <c r="AG162" s="406"/>
      <c r="AH162" s="406"/>
      <c r="AI162" s="406"/>
      <c r="AJ162" s="406"/>
      <c r="AK162" s="406"/>
      <c r="AL162" s="406"/>
      <c r="AM162" s="406"/>
      <c r="AN162" s="406"/>
      <c r="AO162" s="406"/>
      <c r="AP162" s="406"/>
      <c r="AQ162" s="406"/>
      <c r="AR162" s="406"/>
      <c r="AS162" s="406"/>
      <c r="AT162" s="405"/>
      <c r="AU162" s="11"/>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row>
    <row r="163" spans="1:75" ht="15.75">
      <c r="A163" s="399">
        <v>18</v>
      </c>
      <c r="B163" s="400" t="s">
        <v>51</v>
      </c>
      <c r="C163" s="420"/>
      <c r="D163" s="420"/>
      <c r="E163" s="274">
        <f t="shared" si="107"/>
        <v>0.4</v>
      </c>
      <c r="F163" s="275"/>
      <c r="G163" s="274">
        <f t="shared" si="108"/>
        <v>0.4</v>
      </c>
      <c r="H163" s="274"/>
      <c r="I163" s="274"/>
      <c r="J163" s="274"/>
      <c r="K163" s="274"/>
      <c r="L163" s="274"/>
      <c r="M163" s="274"/>
      <c r="N163" s="274"/>
      <c r="O163" s="274"/>
      <c r="P163" s="274"/>
      <c r="Q163" s="274"/>
      <c r="R163" s="274"/>
      <c r="S163" s="275">
        <v>0.4</v>
      </c>
      <c r="T163" s="274"/>
      <c r="U163" s="274"/>
      <c r="V163" s="274"/>
      <c r="W163" s="274"/>
      <c r="X163" s="274"/>
      <c r="Y163" s="277">
        <f t="shared" si="109"/>
        <v>7152000</v>
      </c>
      <c r="Z163" s="406"/>
      <c r="AA163" s="407"/>
      <c r="AB163" s="406"/>
      <c r="AC163" s="406"/>
      <c r="AD163" s="406"/>
      <c r="AE163" s="406"/>
      <c r="AF163" s="406"/>
      <c r="AG163" s="406"/>
      <c r="AH163" s="406"/>
      <c r="AI163" s="406"/>
      <c r="AJ163" s="406"/>
      <c r="AK163" s="406"/>
      <c r="AL163" s="406"/>
      <c r="AM163" s="406"/>
      <c r="AN163" s="406"/>
      <c r="AO163" s="406"/>
      <c r="AP163" s="406"/>
      <c r="AQ163" s="406"/>
      <c r="AR163" s="406"/>
      <c r="AS163" s="406"/>
      <c r="AT163" s="405"/>
      <c r="AU163" s="11"/>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row>
    <row r="164" spans="1:75" ht="15.75">
      <c r="A164" s="399">
        <v>19</v>
      </c>
      <c r="B164" s="400" t="s">
        <v>50</v>
      </c>
      <c r="C164" s="420"/>
      <c r="D164" s="420"/>
      <c r="E164" s="274">
        <f t="shared" si="107"/>
        <v>0.4</v>
      </c>
      <c r="F164" s="275"/>
      <c r="G164" s="274">
        <f t="shared" si="108"/>
        <v>0.4</v>
      </c>
      <c r="H164" s="274"/>
      <c r="I164" s="274"/>
      <c r="J164" s="274"/>
      <c r="K164" s="274"/>
      <c r="L164" s="274"/>
      <c r="M164" s="274"/>
      <c r="N164" s="274"/>
      <c r="O164" s="274"/>
      <c r="P164" s="274"/>
      <c r="Q164" s="274"/>
      <c r="R164" s="274"/>
      <c r="S164" s="275">
        <v>0.4</v>
      </c>
      <c r="T164" s="274"/>
      <c r="U164" s="274"/>
      <c r="V164" s="274"/>
      <c r="W164" s="274"/>
      <c r="X164" s="274"/>
      <c r="Y164" s="277">
        <f t="shared" si="109"/>
        <v>7152000</v>
      </c>
      <c r="Z164" s="406"/>
      <c r="AA164" s="407"/>
      <c r="AB164" s="406"/>
      <c r="AC164" s="406"/>
      <c r="AD164" s="406"/>
      <c r="AE164" s="406"/>
      <c r="AF164" s="406"/>
      <c r="AG164" s="406"/>
      <c r="AH164" s="406"/>
      <c r="AI164" s="406"/>
      <c r="AJ164" s="406"/>
      <c r="AK164" s="406"/>
      <c r="AL164" s="406"/>
      <c r="AM164" s="406"/>
      <c r="AN164" s="406"/>
      <c r="AO164" s="406"/>
      <c r="AP164" s="406"/>
      <c r="AQ164" s="406"/>
      <c r="AR164" s="406"/>
      <c r="AS164" s="406"/>
      <c r="AT164" s="405"/>
      <c r="AU164" s="11"/>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row>
    <row r="165" spans="1:75" ht="15.75">
      <c r="A165" s="399">
        <v>20</v>
      </c>
      <c r="B165" s="400" t="s">
        <v>49</v>
      </c>
      <c r="C165" s="420"/>
      <c r="D165" s="420"/>
      <c r="E165" s="274">
        <f t="shared" si="107"/>
        <v>0.4</v>
      </c>
      <c r="F165" s="275"/>
      <c r="G165" s="274">
        <f t="shared" si="108"/>
        <v>0.4</v>
      </c>
      <c r="H165" s="274"/>
      <c r="I165" s="274"/>
      <c r="J165" s="274"/>
      <c r="K165" s="274"/>
      <c r="L165" s="274"/>
      <c r="M165" s="274"/>
      <c r="N165" s="274"/>
      <c r="O165" s="274"/>
      <c r="P165" s="274"/>
      <c r="Q165" s="274"/>
      <c r="R165" s="274"/>
      <c r="S165" s="275">
        <v>0.4</v>
      </c>
      <c r="T165" s="274"/>
      <c r="U165" s="274"/>
      <c r="V165" s="274"/>
      <c r="W165" s="274"/>
      <c r="X165" s="274"/>
      <c r="Y165" s="277">
        <f t="shared" si="109"/>
        <v>7152000</v>
      </c>
      <c r="Z165" s="406"/>
      <c r="AA165" s="407"/>
      <c r="AB165" s="406"/>
      <c r="AC165" s="406"/>
      <c r="AD165" s="406"/>
      <c r="AE165" s="406"/>
      <c r="AF165" s="406"/>
      <c r="AG165" s="406"/>
      <c r="AH165" s="406"/>
      <c r="AI165" s="406"/>
      <c r="AJ165" s="406"/>
      <c r="AK165" s="406"/>
      <c r="AL165" s="406"/>
      <c r="AM165" s="406"/>
      <c r="AN165" s="406"/>
      <c r="AO165" s="406"/>
      <c r="AP165" s="406"/>
      <c r="AQ165" s="406"/>
      <c r="AR165" s="406"/>
      <c r="AS165" s="406"/>
      <c r="AT165" s="405"/>
      <c r="AU165" s="11"/>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row>
    <row r="166" spans="1:75" ht="15.75">
      <c r="A166" s="399">
        <v>21</v>
      </c>
      <c r="B166" s="400" t="s">
        <v>21</v>
      </c>
      <c r="C166" s="420"/>
      <c r="D166" s="420"/>
      <c r="E166" s="274">
        <f t="shared" si="107"/>
        <v>0.4</v>
      </c>
      <c r="F166" s="275"/>
      <c r="G166" s="274">
        <f t="shared" si="108"/>
        <v>0.4</v>
      </c>
      <c r="H166" s="274"/>
      <c r="I166" s="274"/>
      <c r="J166" s="274"/>
      <c r="K166" s="274"/>
      <c r="L166" s="274"/>
      <c r="M166" s="274"/>
      <c r="N166" s="274"/>
      <c r="O166" s="274"/>
      <c r="P166" s="274"/>
      <c r="Q166" s="274"/>
      <c r="R166" s="274"/>
      <c r="S166" s="275">
        <v>0.4</v>
      </c>
      <c r="T166" s="274"/>
      <c r="U166" s="274"/>
      <c r="V166" s="274"/>
      <c r="W166" s="274"/>
      <c r="X166" s="274"/>
      <c r="Y166" s="277">
        <f t="shared" si="109"/>
        <v>7152000</v>
      </c>
      <c r="Z166" s="406"/>
      <c r="AA166" s="407"/>
      <c r="AB166" s="406"/>
      <c r="AC166" s="406"/>
      <c r="AD166" s="406"/>
      <c r="AE166" s="406"/>
      <c r="AF166" s="406"/>
      <c r="AG166" s="406"/>
      <c r="AH166" s="406"/>
      <c r="AI166" s="406"/>
      <c r="AJ166" s="406"/>
      <c r="AK166" s="406"/>
      <c r="AL166" s="406"/>
      <c r="AM166" s="406"/>
      <c r="AN166" s="406"/>
      <c r="AO166" s="406"/>
      <c r="AP166" s="406"/>
      <c r="AQ166" s="406"/>
      <c r="AR166" s="406"/>
      <c r="AS166" s="406"/>
      <c r="AT166" s="405"/>
      <c r="AU166" s="11"/>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row>
    <row r="167" spans="1:75" ht="15.75">
      <c r="A167" s="399">
        <v>22</v>
      </c>
      <c r="B167" s="400" t="s">
        <v>33</v>
      </c>
      <c r="C167" s="420"/>
      <c r="D167" s="420"/>
      <c r="E167" s="274">
        <f t="shared" si="107"/>
        <v>0.4</v>
      </c>
      <c r="F167" s="275"/>
      <c r="G167" s="274">
        <f t="shared" si="108"/>
        <v>0.4</v>
      </c>
      <c r="H167" s="274"/>
      <c r="I167" s="274"/>
      <c r="J167" s="274"/>
      <c r="K167" s="274"/>
      <c r="L167" s="274"/>
      <c r="M167" s="274"/>
      <c r="N167" s="274"/>
      <c r="O167" s="274"/>
      <c r="P167" s="274"/>
      <c r="Q167" s="274"/>
      <c r="R167" s="274"/>
      <c r="S167" s="275">
        <v>0.4</v>
      </c>
      <c r="T167" s="274"/>
      <c r="U167" s="274"/>
      <c r="V167" s="274"/>
      <c r="W167" s="274"/>
      <c r="X167" s="274"/>
      <c r="Y167" s="277">
        <f t="shared" si="109"/>
        <v>7152000</v>
      </c>
      <c r="Z167" s="406"/>
      <c r="AA167" s="407"/>
      <c r="AB167" s="406"/>
      <c r="AC167" s="406"/>
      <c r="AD167" s="406"/>
      <c r="AE167" s="406"/>
      <c r="AF167" s="406"/>
      <c r="AG167" s="406"/>
      <c r="AH167" s="406"/>
      <c r="AI167" s="406"/>
      <c r="AJ167" s="406"/>
      <c r="AK167" s="406"/>
      <c r="AL167" s="406"/>
      <c r="AM167" s="406"/>
      <c r="AN167" s="406"/>
      <c r="AO167" s="406"/>
      <c r="AP167" s="406"/>
      <c r="AQ167" s="406"/>
      <c r="AR167" s="406"/>
      <c r="AS167" s="406"/>
      <c r="AT167" s="405"/>
      <c r="AU167" s="11"/>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row>
    <row r="168" spans="1:75" ht="15.75">
      <c r="A168" s="399">
        <v>23</v>
      </c>
      <c r="B168" s="400" t="s">
        <v>48</v>
      </c>
      <c r="C168" s="420"/>
      <c r="D168" s="420"/>
      <c r="E168" s="274">
        <f t="shared" si="107"/>
        <v>0.4</v>
      </c>
      <c r="F168" s="275"/>
      <c r="G168" s="274">
        <f t="shared" si="108"/>
        <v>0.4</v>
      </c>
      <c r="H168" s="274"/>
      <c r="I168" s="274"/>
      <c r="J168" s="274"/>
      <c r="K168" s="274"/>
      <c r="L168" s="274"/>
      <c r="M168" s="274"/>
      <c r="N168" s="274"/>
      <c r="O168" s="274"/>
      <c r="P168" s="274"/>
      <c r="Q168" s="274"/>
      <c r="R168" s="274"/>
      <c r="S168" s="275">
        <v>0.4</v>
      </c>
      <c r="T168" s="274"/>
      <c r="U168" s="274"/>
      <c r="V168" s="274"/>
      <c r="W168" s="274"/>
      <c r="X168" s="274"/>
      <c r="Y168" s="277">
        <f t="shared" si="109"/>
        <v>7152000</v>
      </c>
      <c r="Z168" s="406"/>
      <c r="AA168" s="407"/>
      <c r="AB168" s="406"/>
      <c r="AC168" s="406"/>
      <c r="AD168" s="406"/>
      <c r="AE168" s="406"/>
      <c r="AF168" s="406"/>
      <c r="AG168" s="406"/>
      <c r="AH168" s="406"/>
      <c r="AI168" s="406"/>
      <c r="AJ168" s="406"/>
      <c r="AK168" s="406"/>
      <c r="AL168" s="406"/>
      <c r="AM168" s="406"/>
      <c r="AN168" s="406"/>
      <c r="AO168" s="406"/>
      <c r="AP168" s="406"/>
      <c r="AQ168" s="406"/>
      <c r="AR168" s="406"/>
      <c r="AS168" s="406"/>
      <c r="AT168" s="405"/>
      <c r="AU168" s="11"/>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row>
    <row r="169" spans="1:75" ht="15.75">
      <c r="A169" s="399">
        <v>24</v>
      </c>
      <c r="B169" s="400" t="s">
        <v>30</v>
      </c>
      <c r="C169" s="420"/>
      <c r="D169" s="420"/>
      <c r="E169" s="274">
        <f t="shared" si="107"/>
        <v>0.4</v>
      </c>
      <c r="F169" s="275"/>
      <c r="G169" s="274">
        <f t="shared" si="108"/>
        <v>0.4</v>
      </c>
      <c r="H169" s="274"/>
      <c r="I169" s="274"/>
      <c r="J169" s="274"/>
      <c r="K169" s="274"/>
      <c r="L169" s="274"/>
      <c r="M169" s="274"/>
      <c r="N169" s="274"/>
      <c r="O169" s="274"/>
      <c r="P169" s="274"/>
      <c r="Q169" s="274"/>
      <c r="R169" s="274"/>
      <c r="S169" s="275">
        <v>0.4</v>
      </c>
      <c r="T169" s="274"/>
      <c r="U169" s="274"/>
      <c r="V169" s="274"/>
      <c r="W169" s="274"/>
      <c r="X169" s="274"/>
      <c r="Y169" s="277">
        <f t="shared" si="109"/>
        <v>7152000</v>
      </c>
      <c r="Z169" s="406"/>
      <c r="AA169" s="407"/>
      <c r="AB169" s="406"/>
      <c r="AC169" s="406"/>
      <c r="AD169" s="406"/>
      <c r="AE169" s="406"/>
      <c r="AF169" s="406"/>
      <c r="AG169" s="406"/>
      <c r="AH169" s="406"/>
      <c r="AI169" s="406"/>
      <c r="AJ169" s="406"/>
      <c r="AK169" s="406"/>
      <c r="AL169" s="406"/>
      <c r="AM169" s="406"/>
      <c r="AN169" s="406"/>
      <c r="AO169" s="406"/>
      <c r="AP169" s="406"/>
      <c r="AQ169" s="406"/>
      <c r="AR169" s="406"/>
      <c r="AS169" s="406"/>
      <c r="AT169" s="405"/>
      <c r="AU169" s="11"/>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row>
    <row r="170" spans="1:75" ht="15.75">
      <c r="A170" s="399">
        <v>25</v>
      </c>
      <c r="B170" s="400" t="s">
        <v>47</v>
      </c>
      <c r="C170" s="420"/>
      <c r="D170" s="420"/>
      <c r="E170" s="274">
        <f t="shared" si="107"/>
        <v>0.4</v>
      </c>
      <c r="F170" s="275"/>
      <c r="G170" s="274">
        <f t="shared" si="108"/>
        <v>0.4</v>
      </c>
      <c r="H170" s="274"/>
      <c r="I170" s="274"/>
      <c r="J170" s="274"/>
      <c r="K170" s="274"/>
      <c r="L170" s="274"/>
      <c r="M170" s="274"/>
      <c r="N170" s="274"/>
      <c r="O170" s="274"/>
      <c r="P170" s="274"/>
      <c r="Q170" s="274"/>
      <c r="R170" s="274"/>
      <c r="S170" s="275">
        <v>0.4</v>
      </c>
      <c r="T170" s="274"/>
      <c r="U170" s="274"/>
      <c r="V170" s="274"/>
      <c r="W170" s="274"/>
      <c r="X170" s="274"/>
      <c r="Y170" s="277">
        <f t="shared" si="109"/>
        <v>7152000</v>
      </c>
      <c r="Z170" s="406"/>
      <c r="AA170" s="407"/>
      <c r="AB170" s="406"/>
      <c r="AC170" s="406"/>
      <c r="AD170" s="406"/>
      <c r="AE170" s="406"/>
      <c r="AF170" s="406"/>
      <c r="AG170" s="406"/>
      <c r="AH170" s="406"/>
      <c r="AI170" s="406"/>
      <c r="AJ170" s="406"/>
      <c r="AK170" s="406"/>
      <c r="AL170" s="406"/>
      <c r="AM170" s="406"/>
      <c r="AN170" s="406"/>
      <c r="AO170" s="406"/>
      <c r="AP170" s="406"/>
      <c r="AQ170" s="406"/>
      <c r="AR170" s="406"/>
      <c r="AS170" s="406"/>
      <c r="AT170" s="405"/>
      <c r="AU170" s="11"/>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row>
    <row r="171" spans="1:75" ht="15.75">
      <c r="A171" s="399">
        <v>26</v>
      </c>
      <c r="B171" s="400" t="s">
        <v>32</v>
      </c>
      <c r="C171" s="420"/>
      <c r="D171" s="420"/>
      <c r="E171" s="274">
        <f t="shared" si="107"/>
        <v>0.4</v>
      </c>
      <c r="F171" s="275"/>
      <c r="G171" s="274">
        <f t="shared" si="108"/>
        <v>0.4</v>
      </c>
      <c r="H171" s="274"/>
      <c r="I171" s="274"/>
      <c r="J171" s="274"/>
      <c r="K171" s="274"/>
      <c r="L171" s="274"/>
      <c r="M171" s="274"/>
      <c r="N171" s="274"/>
      <c r="O171" s="274"/>
      <c r="P171" s="274"/>
      <c r="Q171" s="274"/>
      <c r="R171" s="274"/>
      <c r="S171" s="275">
        <v>0.4</v>
      </c>
      <c r="T171" s="274"/>
      <c r="U171" s="274"/>
      <c r="V171" s="274"/>
      <c r="W171" s="274"/>
      <c r="X171" s="274"/>
      <c r="Y171" s="277">
        <f t="shared" si="109"/>
        <v>7152000</v>
      </c>
      <c r="Z171" s="406"/>
      <c r="AA171" s="407"/>
      <c r="AB171" s="406"/>
      <c r="AC171" s="406"/>
      <c r="AD171" s="406"/>
      <c r="AE171" s="406"/>
      <c r="AF171" s="406"/>
      <c r="AG171" s="406"/>
      <c r="AH171" s="406"/>
      <c r="AI171" s="406"/>
      <c r="AJ171" s="406"/>
      <c r="AK171" s="406"/>
      <c r="AL171" s="406"/>
      <c r="AM171" s="406"/>
      <c r="AN171" s="406"/>
      <c r="AO171" s="406"/>
      <c r="AP171" s="406"/>
      <c r="AQ171" s="406"/>
      <c r="AR171" s="406"/>
      <c r="AS171" s="406"/>
      <c r="AT171" s="405"/>
      <c r="AU171" s="11"/>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row>
    <row r="172" spans="1:75" ht="15.75">
      <c r="A172" s="399">
        <v>27</v>
      </c>
      <c r="B172" s="400" t="s">
        <v>46</v>
      </c>
      <c r="C172" s="420"/>
      <c r="D172" s="420"/>
      <c r="E172" s="274">
        <f t="shared" si="107"/>
        <v>0.4</v>
      </c>
      <c r="F172" s="275"/>
      <c r="G172" s="274">
        <f t="shared" si="108"/>
        <v>0.4</v>
      </c>
      <c r="H172" s="274"/>
      <c r="I172" s="274"/>
      <c r="J172" s="274"/>
      <c r="K172" s="274"/>
      <c r="L172" s="274"/>
      <c r="M172" s="274"/>
      <c r="N172" s="274"/>
      <c r="O172" s="274"/>
      <c r="P172" s="274"/>
      <c r="Q172" s="274"/>
      <c r="R172" s="274"/>
      <c r="S172" s="275">
        <v>0.4</v>
      </c>
      <c r="T172" s="274"/>
      <c r="U172" s="274"/>
      <c r="V172" s="274"/>
      <c r="W172" s="274"/>
      <c r="X172" s="274"/>
      <c r="Y172" s="277">
        <f t="shared" si="109"/>
        <v>7152000</v>
      </c>
      <c r="Z172" s="406"/>
      <c r="AA172" s="407"/>
      <c r="AB172" s="406"/>
      <c r="AC172" s="406"/>
      <c r="AD172" s="406"/>
      <c r="AE172" s="406"/>
      <c r="AF172" s="406"/>
      <c r="AG172" s="406"/>
      <c r="AH172" s="406"/>
      <c r="AI172" s="406"/>
      <c r="AJ172" s="406"/>
      <c r="AK172" s="406"/>
      <c r="AL172" s="406"/>
      <c r="AM172" s="406"/>
      <c r="AN172" s="406"/>
      <c r="AO172" s="406"/>
      <c r="AP172" s="406"/>
      <c r="AQ172" s="406"/>
      <c r="AR172" s="406"/>
      <c r="AS172" s="406"/>
      <c r="AT172" s="405"/>
      <c r="AU172" s="11"/>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row>
    <row r="173" spans="1:75" ht="31.5">
      <c r="A173" s="395" t="s">
        <v>8</v>
      </c>
      <c r="B173" s="396" t="s">
        <v>45</v>
      </c>
      <c r="C173" s="419"/>
      <c r="D173" s="419"/>
      <c r="E173" s="269">
        <f>E174+'[1]sheet2'!E430+'[1]sheet2'!E439+'[1]sheet2'!E449</f>
        <v>10.800000000000004</v>
      </c>
      <c r="F173" s="269">
        <f>F174+'[1]sheet2'!F430+'[1]sheet2'!F439+'[1]sheet2'!F449</f>
        <v>0</v>
      </c>
      <c r="G173" s="269">
        <f>G174+'[1]sheet2'!G430+'[1]sheet2'!G439+'[1]sheet2'!G449</f>
        <v>10.800000000000004</v>
      </c>
      <c r="H173" s="269">
        <f>H174+'[1]sheet2'!H430+'[1]sheet2'!H439+'[1]sheet2'!H449</f>
        <v>0</v>
      </c>
      <c r="I173" s="269">
        <f>I174+'[1]sheet2'!I430+'[1]sheet2'!I439+'[1]sheet2'!I449</f>
        <v>0</v>
      </c>
      <c r="J173" s="269">
        <f>J174+'[1]sheet2'!J430+'[1]sheet2'!J439+'[1]sheet2'!J449</f>
        <v>0</v>
      </c>
      <c r="K173" s="269">
        <f>K174+'[1]sheet2'!K430+'[1]sheet2'!K439+'[1]sheet2'!K449</f>
        <v>0</v>
      </c>
      <c r="L173" s="269">
        <f>L174+'[1]sheet2'!L430+'[1]sheet2'!L439+'[1]sheet2'!L449</f>
        <v>0</v>
      </c>
      <c r="M173" s="269">
        <f>M174+'[1]sheet2'!M430+'[1]sheet2'!M439+'[1]sheet2'!M449</f>
        <v>0</v>
      </c>
      <c r="N173" s="269">
        <f>N174+'[1]sheet2'!N430+'[1]sheet2'!N439+'[1]sheet2'!N449</f>
        <v>0</v>
      </c>
      <c r="O173" s="269">
        <f>O174+'[1]sheet2'!O430+'[1]sheet2'!O439+'[1]sheet2'!O449</f>
        <v>0</v>
      </c>
      <c r="P173" s="269">
        <f>P174+'[1]sheet2'!P430+'[1]sheet2'!P439+'[1]sheet2'!P449</f>
        <v>0</v>
      </c>
      <c r="Q173" s="269">
        <f>Q174+'[1]sheet2'!Q430+'[1]sheet2'!Q439+'[1]sheet2'!Q449</f>
        <v>0</v>
      </c>
      <c r="R173" s="269">
        <f>R174+'[1]sheet2'!R430+'[1]sheet2'!R439+'[1]sheet2'!R449</f>
        <v>10.800000000000004</v>
      </c>
      <c r="S173" s="269">
        <f>S174+'[1]sheet2'!S430+'[1]sheet2'!S439+'[1]sheet2'!S449</f>
        <v>0</v>
      </c>
      <c r="T173" s="269">
        <f>T174+'[1]sheet2'!T430+'[1]sheet2'!T439+'[1]sheet2'!T449</f>
        <v>0</v>
      </c>
      <c r="U173" s="269">
        <f>U174+'[1]sheet2'!U430+'[1]sheet2'!U439+'[1]sheet2'!U449</f>
        <v>0</v>
      </c>
      <c r="V173" s="269"/>
      <c r="W173" s="269">
        <f>W174+'[1]sheet2'!W430+'[1]sheet2'!W439+'[1]sheet2'!W449</f>
        <v>0</v>
      </c>
      <c r="X173" s="269">
        <f>X174+'[1]sheet2'!X430+'[1]sheet2'!X439+'[1]sheet2'!X449</f>
        <v>0</v>
      </c>
      <c r="Y173" s="270">
        <f>Y174+'[1]sheet2'!Y430+'[1]sheet2'!Y439+'[1]sheet2'!Y449</f>
        <v>193104000</v>
      </c>
      <c r="Z173" s="406"/>
      <c r="AA173" s="407"/>
      <c r="AB173" s="406"/>
      <c r="AC173" s="406"/>
      <c r="AD173" s="406"/>
      <c r="AE173" s="406"/>
      <c r="AF173" s="406"/>
      <c r="AG173" s="406"/>
      <c r="AH173" s="406"/>
      <c r="AI173" s="406"/>
      <c r="AJ173" s="406"/>
      <c r="AK173" s="406"/>
      <c r="AL173" s="406"/>
      <c r="AM173" s="406"/>
      <c r="AN173" s="406"/>
      <c r="AO173" s="406"/>
      <c r="AP173" s="406"/>
      <c r="AQ173" s="406"/>
      <c r="AR173" s="406"/>
      <c r="AS173" s="406"/>
      <c r="AT173" s="405"/>
      <c r="AU173" s="9"/>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row>
    <row r="174" spans="1:75" ht="15.75">
      <c r="A174" s="395">
        <v>1</v>
      </c>
      <c r="B174" s="396" t="s">
        <v>44</v>
      </c>
      <c r="C174" s="419"/>
      <c r="D174" s="419"/>
      <c r="E174" s="269">
        <f aca="true" t="shared" si="110" ref="E174:Y174">SUM(E175:E201)</f>
        <v>10.800000000000004</v>
      </c>
      <c r="F174" s="269">
        <f t="shared" si="110"/>
        <v>0</v>
      </c>
      <c r="G174" s="269">
        <f t="shared" si="110"/>
        <v>10.800000000000004</v>
      </c>
      <c r="H174" s="269">
        <f t="shared" si="110"/>
        <v>0</v>
      </c>
      <c r="I174" s="269">
        <f t="shared" si="110"/>
        <v>0</v>
      </c>
      <c r="J174" s="269">
        <f t="shared" si="110"/>
        <v>0</v>
      </c>
      <c r="K174" s="269">
        <f t="shared" si="110"/>
        <v>0</v>
      </c>
      <c r="L174" s="269">
        <f t="shared" si="110"/>
        <v>0</v>
      </c>
      <c r="M174" s="269">
        <f t="shared" si="110"/>
        <v>0</v>
      </c>
      <c r="N174" s="269">
        <f t="shared" si="110"/>
        <v>0</v>
      </c>
      <c r="O174" s="269">
        <f t="shared" si="110"/>
        <v>0</v>
      </c>
      <c r="P174" s="269">
        <f t="shared" si="110"/>
        <v>0</v>
      </c>
      <c r="Q174" s="269">
        <f t="shared" si="110"/>
        <v>0</v>
      </c>
      <c r="R174" s="269">
        <f t="shared" si="110"/>
        <v>10.800000000000004</v>
      </c>
      <c r="S174" s="269">
        <f t="shared" si="110"/>
        <v>0</v>
      </c>
      <c r="T174" s="269">
        <f t="shared" si="110"/>
        <v>0</v>
      </c>
      <c r="U174" s="269">
        <f t="shared" si="110"/>
        <v>0</v>
      </c>
      <c r="V174" s="269">
        <f t="shared" si="110"/>
        <v>0</v>
      </c>
      <c r="W174" s="269">
        <f t="shared" si="110"/>
        <v>0</v>
      </c>
      <c r="X174" s="269">
        <f t="shared" si="110"/>
        <v>0</v>
      </c>
      <c r="Y174" s="269">
        <f t="shared" si="110"/>
        <v>193104000</v>
      </c>
      <c r="Z174" s="406"/>
      <c r="AA174" s="407"/>
      <c r="AB174" s="406"/>
      <c r="AC174" s="406"/>
      <c r="AD174" s="406"/>
      <c r="AE174" s="406"/>
      <c r="AF174" s="406"/>
      <c r="AG174" s="406"/>
      <c r="AH174" s="406"/>
      <c r="AI174" s="406"/>
      <c r="AJ174" s="406"/>
      <c r="AK174" s="406"/>
      <c r="AL174" s="406"/>
      <c r="AM174" s="406"/>
      <c r="AN174" s="406"/>
      <c r="AO174" s="406"/>
      <c r="AP174" s="406"/>
      <c r="AQ174" s="406"/>
      <c r="AR174" s="406"/>
      <c r="AS174" s="406"/>
      <c r="AT174" s="405"/>
      <c r="AU174" s="9"/>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row>
    <row r="175" spans="1:75" ht="15.75">
      <c r="A175" s="408">
        <v>1</v>
      </c>
      <c r="B175" s="7" t="s">
        <v>43</v>
      </c>
      <c r="C175" s="421"/>
      <c r="D175" s="421"/>
      <c r="E175" s="347">
        <f aca="true" t="shared" si="111" ref="E175:E201">F175+G175+X175</f>
        <v>0.4</v>
      </c>
      <c r="F175" s="409"/>
      <c r="G175" s="347">
        <f aca="true" t="shared" si="112" ref="G175:G201">H175+I175+J175+K175+L175+M175+N175+O175+P175+Q175+R175+S175+T175+U175+W175</f>
        <v>0.4</v>
      </c>
      <c r="H175" s="410"/>
      <c r="I175" s="410"/>
      <c r="J175" s="410"/>
      <c r="K175" s="410"/>
      <c r="L175" s="410"/>
      <c r="M175" s="410"/>
      <c r="N175" s="410"/>
      <c r="O175" s="410"/>
      <c r="P175" s="410"/>
      <c r="Q175" s="410"/>
      <c r="R175" s="347">
        <v>0.4</v>
      </c>
      <c r="S175" s="409"/>
      <c r="T175" s="410"/>
      <c r="U175" s="410"/>
      <c r="V175" s="410"/>
      <c r="W175" s="410"/>
      <c r="X175" s="410"/>
      <c r="Y175" s="352">
        <f aca="true" t="shared" si="113" ref="Y175:Y202">E175*1490000*12</f>
        <v>7152000</v>
      </c>
      <c r="Z175" s="406"/>
      <c r="AA175" s="407"/>
      <c r="AB175" s="406"/>
      <c r="AC175" s="406"/>
      <c r="AD175" s="406"/>
      <c r="AE175" s="406"/>
      <c r="AF175" s="406"/>
      <c r="AG175" s="406"/>
      <c r="AH175" s="406"/>
      <c r="AI175" s="406"/>
      <c r="AJ175" s="406"/>
      <c r="AK175" s="406"/>
      <c r="AL175" s="406"/>
      <c r="AM175" s="406"/>
      <c r="AN175" s="406"/>
      <c r="AO175" s="406"/>
      <c r="AP175" s="406"/>
      <c r="AQ175" s="406"/>
      <c r="AR175" s="406"/>
      <c r="AS175" s="406"/>
      <c r="AT175" s="405"/>
      <c r="AU175" s="15"/>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row>
    <row r="176" spans="1:75" ht="15.75">
      <c r="A176" s="408">
        <v>2</v>
      </c>
      <c r="B176" s="7" t="s">
        <v>42</v>
      </c>
      <c r="C176" s="421"/>
      <c r="D176" s="421"/>
      <c r="E176" s="347">
        <f t="shared" si="111"/>
        <v>0.4</v>
      </c>
      <c r="F176" s="409"/>
      <c r="G176" s="347">
        <f t="shared" si="112"/>
        <v>0.4</v>
      </c>
      <c r="H176" s="410"/>
      <c r="I176" s="410"/>
      <c r="J176" s="410"/>
      <c r="K176" s="410"/>
      <c r="L176" s="410"/>
      <c r="M176" s="410"/>
      <c r="N176" s="410"/>
      <c r="O176" s="410"/>
      <c r="P176" s="410"/>
      <c r="Q176" s="410"/>
      <c r="R176" s="347">
        <v>0.4</v>
      </c>
      <c r="S176" s="409"/>
      <c r="T176" s="410"/>
      <c r="U176" s="410"/>
      <c r="V176" s="410"/>
      <c r="W176" s="410"/>
      <c r="X176" s="410"/>
      <c r="Y176" s="352">
        <f t="shared" si="113"/>
        <v>7152000</v>
      </c>
      <c r="Z176" s="406"/>
      <c r="AA176" s="407"/>
      <c r="AB176" s="406"/>
      <c r="AC176" s="406"/>
      <c r="AD176" s="406"/>
      <c r="AE176" s="406"/>
      <c r="AF176" s="406"/>
      <c r="AG176" s="406"/>
      <c r="AH176" s="406"/>
      <c r="AI176" s="406"/>
      <c r="AJ176" s="406"/>
      <c r="AK176" s="406"/>
      <c r="AL176" s="406"/>
      <c r="AM176" s="406"/>
      <c r="AN176" s="406"/>
      <c r="AO176" s="406"/>
      <c r="AP176" s="406"/>
      <c r="AQ176" s="406"/>
      <c r="AR176" s="406"/>
      <c r="AS176" s="406"/>
      <c r="AT176" s="405"/>
      <c r="AU176" s="15"/>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row>
    <row r="177" spans="1:75" ht="15.75">
      <c r="A177" s="408">
        <v>3</v>
      </c>
      <c r="B177" s="7" t="s">
        <v>41</v>
      </c>
      <c r="C177" s="421"/>
      <c r="D177" s="421"/>
      <c r="E177" s="347">
        <f t="shared" si="111"/>
        <v>0.4</v>
      </c>
      <c r="F177" s="409"/>
      <c r="G177" s="347">
        <f t="shared" si="112"/>
        <v>0.4</v>
      </c>
      <c r="H177" s="410"/>
      <c r="I177" s="410"/>
      <c r="J177" s="410"/>
      <c r="K177" s="410"/>
      <c r="L177" s="410"/>
      <c r="M177" s="410"/>
      <c r="N177" s="410"/>
      <c r="O177" s="410"/>
      <c r="P177" s="410"/>
      <c r="Q177" s="410"/>
      <c r="R177" s="347">
        <v>0.4</v>
      </c>
      <c r="S177" s="409"/>
      <c r="T177" s="410"/>
      <c r="U177" s="410"/>
      <c r="V177" s="410"/>
      <c r="W177" s="410"/>
      <c r="X177" s="410"/>
      <c r="Y177" s="352">
        <f t="shared" si="113"/>
        <v>7152000</v>
      </c>
      <c r="Z177" s="406"/>
      <c r="AA177" s="407"/>
      <c r="AB177" s="406"/>
      <c r="AC177" s="406"/>
      <c r="AD177" s="406"/>
      <c r="AE177" s="406"/>
      <c r="AF177" s="406"/>
      <c r="AG177" s="406"/>
      <c r="AH177" s="406"/>
      <c r="AI177" s="406"/>
      <c r="AJ177" s="406"/>
      <c r="AK177" s="406"/>
      <c r="AL177" s="406"/>
      <c r="AM177" s="406"/>
      <c r="AN177" s="406"/>
      <c r="AO177" s="406"/>
      <c r="AP177" s="406"/>
      <c r="AQ177" s="406"/>
      <c r="AR177" s="406"/>
      <c r="AS177" s="406"/>
      <c r="AT177" s="405"/>
      <c r="AU177" s="15"/>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row>
    <row r="178" spans="1:75" ht="15.75">
      <c r="A178" s="408">
        <v>4</v>
      </c>
      <c r="B178" s="7" t="s">
        <v>40</v>
      </c>
      <c r="C178" s="421"/>
      <c r="D178" s="421"/>
      <c r="E178" s="347">
        <f t="shared" si="111"/>
        <v>0.4</v>
      </c>
      <c r="F178" s="409"/>
      <c r="G178" s="347">
        <f t="shared" si="112"/>
        <v>0.4</v>
      </c>
      <c r="H178" s="410"/>
      <c r="I178" s="410"/>
      <c r="J178" s="410"/>
      <c r="K178" s="410"/>
      <c r="L178" s="410"/>
      <c r="M178" s="410"/>
      <c r="N178" s="410"/>
      <c r="O178" s="410"/>
      <c r="P178" s="410"/>
      <c r="Q178" s="410"/>
      <c r="R178" s="347">
        <v>0.4</v>
      </c>
      <c r="S178" s="409"/>
      <c r="T178" s="410"/>
      <c r="U178" s="410"/>
      <c r="V178" s="410"/>
      <c r="W178" s="410"/>
      <c r="X178" s="410"/>
      <c r="Y178" s="352">
        <f t="shared" si="113"/>
        <v>7152000</v>
      </c>
      <c r="Z178" s="406"/>
      <c r="AA178" s="407"/>
      <c r="AB178" s="406"/>
      <c r="AC178" s="406"/>
      <c r="AD178" s="406"/>
      <c r="AE178" s="406"/>
      <c r="AF178" s="406"/>
      <c r="AG178" s="406"/>
      <c r="AH178" s="406"/>
      <c r="AI178" s="406"/>
      <c r="AJ178" s="406"/>
      <c r="AK178" s="406"/>
      <c r="AL178" s="406"/>
      <c r="AM178" s="406"/>
      <c r="AN178" s="406"/>
      <c r="AO178" s="406"/>
      <c r="AP178" s="406"/>
      <c r="AQ178" s="406"/>
      <c r="AR178" s="406"/>
      <c r="AS178" s="406"/>
      <c r="AT178" s="405"/>
      <c r="AU178" s="15"/>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row>
    <row r="179" spans="1:75" ht="15.75">
      <c r="A179" s="408">
        <v>5</v>
      </c>
      <c r="B179" s="7" t="s">
        <v>39</v>
      </c>
      <c r="C179" s="421"/>
      <c r="D179" s="421"/>
      <c r="E179" s="347">
        <f t="shared" si="111"/>
        <v>0.4</v>
      </c>
      <c r="F179" s="409"/>
      <c r="G179" s="347">
        <f t="shared" si="112"/>
        <v>0.4</v>
      </c>
      <c r="H179" s="410"/>
      <c r="I179" s="410"/>
      <c r="J179" s="410"/>
      <c r="K179" s="410"/>
      <c r="L179" s="410"/>
      <c r="M179" s="410"/>
      <c r="N179" s="410"/>
      <c r="O179" s="410"/>
      <c r="P179" s="410"/>
      <c r="Q179" s="410"/>
      <c r="R179" s="347">
        <v>0.4</v>
      </c>
      <c r="S179" s="409"/>
      <c r="T179" s="410"/>
      <c r="U179" s="410"/>
      <c r="V179" s="410"/>
      <c r="W179" s="410"/>
      <c r="X179" s="410"/>
      <c r="Y179" s="352">
        <f t="shared" si="113"/>
        <v>7152000</v>
      </c>
      <c r="Z179" s="406"/>
      <c r="AA179" s="407"/>
      <c r="AB179" s="406"/>
      <c r="AC179" s="406"/>
      <c r="AD179" s="406"/>
      <c r="AE179" s="406"/>
      <c r="AF179" s="406"/>
      <c r="AG179" s="406"/>
      <c r="AH179" s="406"/>
      <c r="AI179" s="406"/>
      <c r="AJ179" s="406"/>
      <c r="AK179" s="406"/>
      <c r="AL179" s="406"/>
      <c r="AM179" s="406"/>
      <c r="AN179" s="406"/>
      <c r="AO179" s="406"/>
      <c r="AP179" s="406"/>
      <c r="AQ179" s="406"/>
      <c r="AR179" s="406"/>
      <c r="AS179" s="406"/>
      <c r="AT179" s="405"/>
      <c r="AU179" s="15"/>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row>
    <row r="180" spans="1:75" ht="15.75">
      <c r="A180" s="408">
        <v>6</v>
      </c>
      <c r="B180" s="7" t="s">
        <v>38</v>
      </c>
      <c r="C180" s="421"/>
      <c r="D180" s="421"/>
      <c r="E180" s="347">
        <f t="shared" si="111"/>
        <v>0.4</v>
      </c>
      <c r="F180" s="409"/>
      <c r="G180" s="347">
        <f t="shared" si="112"/>
        <v>0.4</v>
      </c>
      <c r="H180" s="410"/>
      <c r="I180" s="410"/>
      <c r="J180" s="410"/>
      <c r="K180" s="410"/>
      <c r="L180" s="410"/>
      <c r="M180" s="410"/>
      <c r="N180" s="410"/>
      <c r="O180" s="410"/>
      <c r="P180" s="410"/>
      <c r="Q180" s="410"/>
      <c r="R180" s="347">
        <v>0.4</v>
      </c>
      <c r="S180" s="409"/>
      <c r="T180" s="410"/>
      <c r="U180" s="410"/>
      <c r="V180" s="410"/>
      <c r="W180" s="410"/>
      <c r="X180" s="410"/>
      <c r="Y180" s="352">
        <f t="shared" si="113"/>
        <v>7152000</v>
      </c>
      <c r="Z180" s="406"/>
      <c r="AA180" s="407"/>
      <c r="AB180" s="406"/>
      <c r="AC180" s="406"/>
      <c r="AD180" s="406"/>
      <c r="AE180" s="406"/>
      <c r="AF180" s="406"/>
      <c r="AG180" s="406"/>
      <c r="AH180" s="406"/>
      <c r="AI180" s="406"/>
      <c r="AJ180" s="406"/>
      <c r="AK180" s="406"/>
      <c r="AL180" s="406"/>
      <c r="AM180" s="406"/>
      <c r="AN180" s="406"/>
      <c r="AO180" s="406"/>
      <c r="AP180" s="406"/>
      <c r="AQ180" s="406"/>
      <c r="AR180" s="406"/>
      <c r="AS180" s="406"/>
      <c r="AT180" s="405"/>
      <c r="AU180" s="15"/>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row>
    <row r="181" spans="1:75" ht="31.5">
      <c r="A181" s="408">
        <v>7</v>
      </c>
      <c r="B181" s="7" t="s">
        <v>37</v>
      </c>
      <c r="C181" s="421"/>
      <c r="D181" s="421"/>
      <c r="E181" s="347">
        <f t="shared" si="111"/>
        <v>0.4</v>
      </c>
      <c r="F181" s="409"/>
      <c r="G181" s="347">
        <f t="shared" si="112"/>
        <v>0.4</v>
      </c>
      <c r="H181" s="410"/>
      <c r="I181" s="410"/>
      <c r="J181" s="410"/>
      <c r="K181" s="410"/>
      <c r="L181" s="410"/>
      <c r="M181" s="410"/>
      <c r="N181" s="410"/>
      <c r="O181" s="410"/>
      <c r="P181" s="410"/>
      <c r="Q181" s="410"/>
      <c r="R181" s="347">
        <v>0.4</v>
      </c>
      <c r="S181" s="409"/>
      <c r="T181" s="410"/>
      <c r="U181" s="410"/>
      <c r="V181" s="410"/>
      <c r="W181" s="410"/>
      <c r="X181" s="410"/>
      <c r="Y181" s="352">
        <f t="shared" si="113"/>
        <v>7152000</v>
      </c>
      <c r="Z181" s="406"/>
      <c r="AA181" s="407"/>
      <c r="AB181" s="406"/>
      <c r="AC181" s="406"/>
      <c r="AD181" s="406"/>
      <c r="AE181" s="406"/>
      <c r="AF181" s="406"/>
      <c r="AG181" s="406"/>
      <c r="AH181" s="406"/>
      <c r="AI181" s="406"/>
      <c r="AJ181" s="406"/>
      <c r="AK181" s="406"/>
      <c r="AL181" s="406"/>
      <c r="AM181" s="406"/>
      <c r="AN181" s="406"/>
      <c r="AO181" s="406"/>
      <c r="AP181" s="406"/>
      <c r="AQ181" s="406"/>
      <c r="AR181" s="406"/>
      <c r="AS181" s="406"/>
      <c r="AT181" s="405"/>
      <c r="AU181" s="15"/>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row>
    <row r="182" spans="1:75" ht="15.75">
      <c r="A182" s="408">
        <v>8</v>
      </c>
      <c r="B182" s="7" t="s">
        <v>36</v>
      </c>
      <c r="C182" s="421"/>
      <c r="D182" s="421"/>
      <c r="E182" s="347">
        <f t="shared" si="111"/>
        <v>0.4</v>
      </c>
      <c r="F182" s="409"/>
      <c r="G182" s="347">
        <f t="shared" si="112"/>
        <v>0.4</v>
      </c>
      <c r="H182" s="410"/>
      <c r="I182" s="410"/>
      <c r="J182" s="410"/>
      <c r="K182" s="410"/>
      <c r="L182" s="410"/>
      <c r="M182" s="410"/>
      <c r="N182" s="410"/>
      <c r="O182" s="410"/>
      <c r="P182" s="410"/>
      <c r="Q182" s="410"/>
      <c r="R182" s="347">
        <v>0.4</v>
      </c>
      <c r="S182" s="409"/>
      <c r="T182" s="410"/>
      <c r="U182" s="410"/>
      <c r="V182" s="410"/>
      <c r="W182" s="410"/>
      <c r="X182" s="410"/>
      <c r="Y182" s="352">
        <f t="shared" si="113"/>
        <v>7152000</v>
      </c>
      <c r="Z182" s="406"/>
      <c r="AA182" s="407"/>
      <c r="AB182" s="406"/>
      <c r="AC182" s="406"/>
      <c r="AD182" s="406"/>
      <c r="AE182" s="406"/>
      <c r="AF182" s="406"/>
      <c r="AG182" s="406"/>
      <c r="AH182" s="406"/>
      <c r="AI182" s="406"/>
      <c r="AJ182" s="406"/>
      <c r="AK182" s="406"/>
      <c r="AL182" s="406"/>
      <c r="AM182" s="406"/>
      <c r="AN182" s="406"/>
      <c r="AO182" s="406"/>
      <c r="AP182" s="406"/>
      <c r="AQ182" s="406"/>
      <c r="AR182" s="406"/>
      <c r="AS182" s="406"/>
      <c r="AT182" s="405"/>
      <c r="AU182" s="15"/>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row>
    <row r="183" spans="1:75" ht="15.75">
      <c r="A183" s="408">
        <v>9</v>
      </c>
      <c r="B183" s="7" t="s">
        <v>35</v>
      </c>
      <c r="C183" s="421"/>
      <c r="D183" s="421"/>
      <c r="E183" s="347">
        <f t="shared" si="111"/>
        <v>0.4</v>
      </c>
      <c r="F183" s="409"/>
      <c r="G183" s="347">
        <f t="shared" si="112"/>
        <v>0.4</v>
      </c>
      <c r="H183" s="410"/>
      <c r="I183" s="410"/>
      <c r="J183" s="410"/>
      <c r="K183" s="410"/>
      <c r="L183" s="410"/>
      <c r="M183" s="410"/>
      <c r="N183" s="410"/>
      <c r="O183" s="410"/>
      <c r="P183" s="410"/>
      <c r="Q183" s="410"/>
      <c r="R183" s="347">
        <v>0.4</v>
      </c>
      <c r="S183" s="409"/>
      <c r="T183" s="410"/>
      <c r="U183" s="410"/>
      <c r="V183" s="410"/>
      <c r="W183" s="410"/>
      <c r="X183" s="410"/>
      <c r="Y183" s="352">
        <f t="shared" si="113"/>
        <v>7152000</v>
      </c>
      <c r="Z183" s="406"/>
      <c r="AA183" s="407"/>
      <c r="AB183" s="406"/>
      <c r="AC183" s="406"/>
      <c r="AD183" s="406"/>
      <c r="AE183" s="406"/>
      <c r="AF183" s="406"/>
      <c r="AG183" s="406"/>
      <c r="AH183" s="406"/>
      <c r="AI183" s="406"/>
      <c r="AJ183" s="406"/>
      <c r="AK183" s="406"/>
      <c r="AL183" s="406"/>
      <c r="AM183" s="406"/>
      <c r="AN183" s="406"/>
      <c r="AO183" s="406"/>
      <c r="AP183" s="406"/>
      <c r="AQ183" s="406"/>
      <c r="AR183" s="406"/>
      <c r="AS183" s="406"/>
      <c r="AT183" s="405"/>
      <c r="AU183" s="15"/>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row>
    <row r="184" spans="1:75" ht="15.75">
      <c r="A184" s="408">
        <v>10</v>
      </c>
      <c r="B184" s="7" t="s">
        <v>34</v>
      </c>
      <c r="C184" s="421"/>
      <c r="D184" s="421"/>
      <c r="E184" s="347">
        <f t="shared" si="111"/>
        <v>0.4</v>
      </c>
      <c r="F184" s="409"/>
      <c r="G184" s="347">
        <f t="shared" si="112"/>
        <v>0.4</v>
      </c>
      <c r="H184" s="410"/>
      <c r="I184" s="410"/>
      <c r="J184" s="410"/>
      <c r="K184" s="410"/>
      <c r="L184" s="410"/>
      <c r="M184" s="410"/>
      <c r="N184" s="410"/>
      <c r="O184" s="410"/>
      <c r="P184" s="410"/>
      <c r="Q184" s="410"/>
      <c r="R184" s="347">
        <v>0.4</v>
      </c>
      <c r="S184" s="409"/>
      <c r="T184" s="410"/>
      <c r="U184" s="410"/>
      <c r="V184" s="410"/>
      <c r="W184" s="410"/>
      <c r="X184" s="410"/>
      <c r="Y184" s="352">
        <f t="shared" si="113"/>
        <v>7152000</v>
      </c>
      <c r="Z184" s="406"/>
      <c r="AA184" s="407"/>
      <c r="AB184" s="406"/>
      <c r="AC184" s="406"/>
      <c r="AD184" s="406"/>
      <c r="AE184" s="406"/>
      <c r="AF184" s="406"/>
      <c r="AG184" s="406"/>
      <c r="AH184" s="406"/>
      <c r="AI184" s="406"/>
      <c r="AJ184" s="406"/>
      <c r="AK184" s="406"/>
      <c r="AL184" s="406"/>
      <c r="AM184" s="406"/>
      <c r="AN184" s="406"/>
      <c r="AO184" s="406"/>
      <c r="AP184" s="406"/>
      <c r="AQ184" s="406"/>
      <c r="AR184" s="406"/>
      <c r="AS184" s="406"/>
      <c r="AT184" s="405"/>
      <c r="AU184" s="15"/>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row>
    <row r="185" spans="1:75" ht="15.75">
      <c r="A185" s="408">
        <v>11</v>
      </c>
      <c r="B185" s="7" t="s">
        <v>33</v>
      </c>
      <c r="C185" s="421"/>
      <c r="D185" s="421"/>
      <c r="E185" s="347">
        <f t="shared" si="111"/>
        <v>0.4</v>
      </c>
      <c r="F185" s="409"/>
      <c r="G185" s="347">
        <f t="shared" si="112"/>
        <v>0.4</v>
      </c>
      <c r="H185" s="410"/>
      <c r="I185" s="410"/>
      <c r="J185" s="410"/>
      <c r="K185" s="410"/>
      <c r="L185" s="410"/>
      <c r="M185" s="410"/>
      <c r="N185" s="410"/>
      <c r="O185" s="410"/>
      <c r="P185" s="410"/>
      <c r="Q185" s="410"/>
      <c r="R185" s="347">
        <v>0.4</v>
      </c>
      <c r="S185" s="409"/>
      <c r="T185" s="410"/>
      <c r="U185" s="410"/>
      <c r="V185" s="410"/>
      <c r="W185" s="410"/>
      <c r="X185" s="410"/>
      <c r="Y185" s="352">
        <f t="shared" si="113"/>
        <v>7152000</v>
      </c>
      <c r="Z185" s="406"/>
      <c r="AA185" s="407"/>
      <c r="AB185" s="406"/>
      <c r="AC185" s="406"/>
      <c r="AD185" s="406"/>
      <c r="AE185" s="406"/>
      <c r="AF185" s="406"/>
      <c r="AG185" s="406"/>
      <c r="AH185" s="406"/>
      <c r="AI185" s="406"/>
      <c r="AJ185" s="406"/>
      <c r="AK185" s="406"/>
      <c r="AL185" s="406"/>
      <c r="AM185" s="406"/>
      <c r="AN185" s="406"/>
      <c r="AO185" s="406"/>
      <c r="AP185" s="406"/>
      <c r="AQ185" s="406"/>
      <c r="AR185" s="406"/>
      <c r="AS185" s="406"/>
      <c r="AT185" s="405"/>
      <c r="AU185" s="15"/>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row>
    <row r="186" spans="1:75" ht="15.75">
      <c r="A186" s="408">
        <v>12</v>
      </c>
      <c r="B186" s="7" t="s">
        <v>32</v>
      </c>
      <c r="C186" s="421"/>
      <c r="D186" s="421"/>
      <c r="E186" s="347">
        <f t="shared" si="111"/>
        <v>0.4</v>
      </c>
      <c r="F186" s="409"/>
      <c r="G186" s="347">
        <f t="shared" si="112"/>
        <v>0.4</v>
      </c>
      <c r="H186" s="410"/>
      <c r="I186" s="410"/>
      <c r="J186" s="410"/>
      <c r="K186" s="410"/>
      <c r="L186" s="410"/>
      <c r="M186" s="410"/>
      <c r="N186" s="410"/>
      <c r="O186" s="410"/>
      <c r="P186" s="410"/>
      <c r="Q186" s="410"/>
      <c r="R186" s="347">
        <v>0.4</v>
      </c>
      <c r="S186" s="409"/>
      <c r="T186" s="410"/>
      <c r="U186" s="410"/>
      <c r="V186" s="410"/>
      <c r="W186" s="410"/>
      <c r="X186" s="410"/>
      <c r="Y186" s="352">
        <f t="shared" si="113"/>
        <v>7152000</v>
      </c>
      <c r="Z186" s="406"/>
      <c r="AA186" s="407"/>
      <c r="AB186" s="406"/>
      <c r="AC186" s="406"/>
      <c r="AD186" s="406"/>
      <c r="AE186" s="406"/>
      <c r="AF186" s="406"/>
      <c r="AG186" s="406"/>
      <c r="AH186" s="406"/>
      <c r="AI186" s="406"/>
      <c r="AJ186" s="406"/>
      <c r="AK186" s="406"/>
      <c r="AL186" s="406"/>
      <c r="AM186" s="406"/>
      <c r="AN186" s="406"/>
      <c r="AO186" s="406"/>
      <c r="AP186" s="406"/>
      <c r="AQ186" s="406"/>
      <c r="AR186" s="406"/>
      <c r="AS186" s="406"/>
      <c r="AT186" s="405"/>
      <c r="AU186" s="15"/>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row>
    <row r="187" spans="1:75" ht="15.75">
      <c r="A187" s="408">
        <v>13</v>
      </c>
      <c r="B187" s="7" t="s">
        <v>31</v>
      </c>
      <c r="C187" s="421"/>
      <c r="D187" s="421"/>
      <c r="E187" s="347">
        <f t="shared" si="111"/>
        <v>0.4</v>
      </c>
      <c r="F187" s="409"/>
      <c r="G187" s="347">
        <f t="shared" si="112"/>
        <v>0.4</v>
      </c>
      <c r="H187" s="410"/>
      <c r="I187" s="410"/>
      <c r="J187" s="410"/>
      <c r="K187" s="410"/>
      <c r="L187" s="410"/>
      <c r="M187" s="410"/>
      <c r="N187" s="410"/>
      <c r="O187" s="410"/>
      <c r="P187" s="410"/>
      <c r="Q187" s="410"/>
      <c r="R187" s="347">
        <v>0.4</v>
      </c>
      <c r="S187" s="409"/>
      <c r="T187" s="410"/>
      <c r="U187" s="410"/>
      <c r="V187" s="410"/>
      <c r="W187" s="410"/>
      <c r="X187" s="410"/>
      <c r="Y187" s="352">
        <f t="shared" si="113"/>
        <v>7152000</v>
      </c>
      <c r="Z187" s="406"/>
      <c r="AA187" s="407"/>
      <c r="AB187" s="406"/>
      <c r="AC187" s="406"/>
      <c r="AD187" s="406"/>
      <c r="AE187" s="406"/>
      <c r="AF187" s="406"/>
      <c r="AG187" s="406"/>
      <c r="AH187" s="406"/>
      <c r="AI187" s="406"/>
      <c r="AJ187" s="406"/>
      <c r="AK187" s="406"/>
      <c r="AL187" s="406"/>
      <c r="AM187" s="406"/>
      <c r="AN187" s="406"/>
      <c r="AO187" s="406"/>
      <c r="AP187" s="406"/>
      <c r="AQ187" s="406"/>
      <c r="AR187" s="406"/>
      <c r="AS187" s="406"/>
      <c r="AT187" s="405"/>
      <c r="AU187" s="15"/>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row>
    <row r="188" spans="1:75" ht="15.75">
      <c r="A188" s="408">
        <v>14</v>
      </c>
      <c r="B188" s="7" t="s">
        <v>30</v>
      </c>
      <c r="C188" s="421"/>
      <c r="D188" s="421"/>
      <c r="E188" s="347">
        <f t="shared" si="111"/>
        <v>0.4</v>
      </c>
      <c r="F188" s="409"/>
      <c r="G188" s="347">
        <f t="shared" si="112"/>
        <v>0.4</v>
      </c>
      <c r="H188" s="410"/>
      <c r="I188" s="410"/>
      <c r="J188" s="410"/>
      <c r="K188" s="410"/>
      <c r="L188" s="410"/>
      <c r="M188" s="410"/>
      <c r="N188" s="410"/>
      <c r="O188" s="410"/>
      <c r="P188" s="410"/>
      <c r="Q188" s="410"/>
      <c r="R188" s="347">
        <v>0.4</v>
      </c>
      <c r="S188" s="409"/>
      <c r="T188" s="410"/>
      <c r="U188" s="410"/>
      <c r="V188" s="410"/>
      <c r="W188" s="410"/>
      <c r="X188" s="410"/>
      <c r="Y188" s="352">
        <f t="shared" si="113"/>
        <v>7152000</v>
      </c>
      <c r="Z188" s="406"/>
      <c r="AA188" s="407"/>
      <c r="AB188" s="406"/>
      <c r="AC188" s="406"/>
      <c r="AD188" s="406"/>
      <c r="AE188" s="406"/>
      <c r="AF188" s="406"/>
      <c r="AG188" s="406"/>
      <c r="AH188" s="406"/>
      <c r="AI188" s="406"/>
      <c r="AJ188" s="406"/>
      <c r="AK188" s="406"/>
      <c r="AL188" s="406"/>
      <c r="AM188" s="406"/>
      <c r="AN188" s="406"/>
      <c r="AO188" s="406"/>
      <c r="AP188" s="406"/>
      <c r="AQ188" s="406"/>
      <c r="AR188" s="406"/>
      <c r="AS188" s="406"/>
      <c r="AT188" s="405"/>
      <c r="AU188" s="15"/>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row>
    <row r="189" spans="1:75" ht="31.5">
      <c r="A189" s="408">
        <v>15</v>
      </c>
      <c r="B189" s="7" t="s">
        <v>29</v>
      </c>
      <c r="C189" s="421"/>
      <c r="D189" s="421"/>
      <c r="E189" s="347">
        <f t="shared" si="111"/>
        <v>0.4</v>
      </c>
      <c r="F189" s="409"/>
      <c r="G189" s="347">
        <f t="shared" si="112"/>
        <v>0.4</v>
      </c>
      <c r="H189" s="410"/>
      <c r="I189" s="410"/>
      <c r="J189" s="410"/>
      <c r="K189" s="410"/>
      <c r="L189" s="410"/>
      <c r="M189" s="410"/>
      <c r="N189" s="410"/>
      <c r="O189" s="410"/>
      <c r="P189" s="410"/>
      <c r="Q189" s="410"/>
      <c r="R189" s="347">
        <v>0.4</v>
      </c>
      <c r="S189" s="409"/>
      <c r="T189" s="410"/>
      <c r="U189" s="410"/>
      <c r="V189" s="410"/>
      <c r="W189" s="410"/>
      <c r="X189" s="410"/>
      <c r="Y189" s="352">
        <f t="shared" si="113"/>
        <v>7152000</v>
      </c>
      <c r="Z189" s="406"/>
      <c r="AA189" s="407"/>
      <c r="AB189" s="406"/>
      <c r="AC189" s="406"/>
      <c r="AD189" s="406"/>
      <c r="AE189" s="406"/>
      <c r="AF189" s="406"/>
      <c r="AG189" s="406"/>
      <c r="AH189" s="406"/>
      <c r="AI189" s="406"/>
      <c r="AJ189" s="406"/>
      <c r="AK189" s="406"/>
      <c r="AL189" s="406"/>
      <c r="AM189" s="406"/>
      <c r="AN189" s="406"/>
      <c r="AO189" s="406"/>
      <c r="AP189" s="406"/>
      <c r="AQ189" s="406"/>
      <c r="AR189" s="406"/>
      <c r="AS189" s="406"/>
      <c r="AT189" s="405"/>
      <c r="AU189" s="15"/>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row>
    <row r="190" spans="1:75" ht="15.75">
      <c r="A190" s="408">
        <v>16</v>
      </c>
      <c r="B190" s="7" t="s">
        <v>28</v>
      </c>
      <c r="C190" s="421"/>
      <c r="D190" s="421"/>
      <c r="E190" s="347">
        <f t="shared" si="111"/>
        <v>0.4</v>
      </c>
      <c r="F190" s="409"/>
      <c r="G190" s="347">
        <f t="shared" si="112"/>
        <v>0.4</v>
      </c>
      <c r="H190" s="410"/>
      <c r="I190" s="410"/>
      <c r="J190" s="410"/>
      <c r="K190" s="410"/>
      <c r="L190" s="410"/>
      <c r="M190" s="410"/>
      <c r="N190" s="410"/>
      <c r="O190" s="410"/>
      <c r="P190" s="410"/>
      <c r="Q190" s="410"/>
      <c r="R190" s="347">
        <v>0.4</v>
      </c>
      <c r="S190" s="409"/>
      <c r="T190" s="410"/>
      <c r="U190" s="410"/>
      <c r="V190" s="410"/>
      <c r="W190" s="410"/>
      <c r="X190" s="410"/>
      <c r="Y190" s="352">
        <f t="shared" si="113"/>
        <v>7152000</v>
      </c>
      <c r="Z190" s="406"/>
      <c r="AA190" s="407"/>
      <c r="AB190" s="406"/>
      <c r="AC190" s="406"/>
      <c r="AD190" s="406"/>
      <c r="AE190" s="406"/>
      <c r="AF190" s="406"/>
      <c r="AG190" s="406"/>
      <c r="AH190" s="406"/>
      <c r="AI190" s="406"/>
      <c r="AJ190" s="406"/>
      <c r="AK190" s="406"/>
      <c r="AL190" s="406"/>
      <c r="AM190" s="406"/>
      <c r="AN190" s="406"/>
      <c r="AO190" s="406"/>
      <c r="AP190" s="406"/>
      <c r="AQ190" s="406"/>
      <c r="AR190" s="406"/>
      <c r="AS190" s="406"/>
      <c r="AT190" s="405"/>
      <c r="AU190" s="15"/>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row>
    <row r="191" spans="1:75" ht="15.75">
      <c r="A191" s="408">
        <v>17</v>
      </c>
      <c r="B191" s="7" t="s">
        <v>27</v>
      </c>
      <c r="C191" s="421"/>
      <c r="D191" s="421"/>
      <c r="E191" s="347">
        <f t="shared" si="111"/>
        <v>0.4</v>
      </c>
      <c r="F191" s="409"/>
      <c r="G191" s="347">
        <f t="shared" si="112"/>
        <v>0.4</v>
      </c>
      <c r="H191" s="410"/>
      <c r="I191" s="410"/>
      <c r="J191" s="410"/>
      <c r="K191" s="410"/>
      <c r="L191" s="410"/>
      <c r="M191" s="410"/>
      <c r="N191" s="410"/>
      <c r="O191" s="410"/>
      <c r="P191" s="410"/>
      <c r="Q191" s="410"/>
      <c r="R191" s="347">
        <v>0.4</v>
      </c>
      <c r="S191" s="409"/>
      <c r="T191" s="410"/>
      <c r="U191" s="410"/>
      <c r="V191" s="410"/>
      <c r="W191" s="410"/>
      <c r="X191" s="410"/>
      <c r="Y191" s="352">
        <f t="shared" si="113"/>
        <v>7152000</v>
      </c>
      <c r="Z191" s="406"/>
      <c r="AA191" s="407"/>
      <c r="AB191" s="406"/>
      <c r="AC191" s="406"/>
      <c r="AD191" s="406"/>
      <c r="AE191" s="406"/>
      <c r="AF191" s="406"/>
      <c r="AG191" s="406"/>
      <c r="AH191" s="406"/>
      <c r="AI191" s="406"/>
      <c r="AJ191" s="406"/>
      <c r="AK191" s="406"/>
      <c r="AL191" s="406"/>
      <c r="AM191" s="406"/>
      <c r="AN191" s="406"/>
      <c r="AO191" s="406"/>
      <c r="AP191" s="406"/>
      <c r="AQ191" s="406"/>
      <c r="AR191" s="406"/>
      <c r="AS191" s="406"/>
      <c r="AT191" s="405"/>
      <c r="AU191" s="15"/>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row>
    <row r="192" spans="1:75" ht="15.75">
      <c r="A192" s="408">
        <v>18</v>
      </c>
      <c r="B192" s="7" t="s">
        <v>26</v>
      </c>
      <c r="C192" s="421"/>
      <c r="D192" s="421"/>
      <c r="E192" s="347">
        <f t="shared" si="111"/>
        <v>0.4</v>
      </c>
      <c r="F192" s="409"/>
      <c r="G192" s="347">
        <f t="shared" si="112"/>
        <v>0.4</v>
      </c>
      <c r="H192" s="410"/>
      <c r="I192" s="410"/>
      <c r="J192" s="410"/>
      <c r="K192" s="410"/>
      <c r="L192" s="410"/>
      <c r="M192" s="410"/>
      <c r="N192" s="410"/>
      <c r="O192" s="410"/>
      <c r="P192" s="410"/>
      <c r="Q192" s="410"/>
      <c r="R192" s="347">
        <v>0.4</v>
      </c>
      <c r="S192" s="409"/>
      <c r="T192" s="410"/>
      <c r="U192" s="410"/>
      <c r="V192" s="410"/>
      <c r="W192" s="410"/>
      <c r="X192" s="410"/>
      <c r="Y192" s="352">
        <f t="shared" si="113"/>
        <v>7152000</v>
      </c>
      <c r="Z192" s="406"/>
      <c r="AA192" s="407"/>
      <c r="AB192" s="406"/>
      <c r="AC192" s="406"/>
      <c r="AD192" s="406"/>
      <c r="AE192" s="406"/>
      <c r="AF192" s="406"/>
      <c r="AG192" s="406"/>
      <c r="AH192" s="406"/>
      <c r="AI192" s="406"/>
      <c r="AJ192" s="406"/>
      <c r="AK192" s="406"/>
      <c r="AL192" s="406"/>
      <c r="AM192" s="406"/>
      <c r="AN192" s="406"/>
      <c r="AO192" s="406"/>
      <c r="AP192" s="406"/>
      <c r="AQ192" s="406"/>
      <c r="AR192" s="406"/>
      <c r="AS192" s="406"/>
      <c r="AT192" s="405"/>
      <c r="AU192" s="15"/>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row>
    <row r="193" spans="1:75" ht="15.75">
      <c r="A193" s="408">
        <v>19</v>
      </c>
      <c r="B193" s="7" t="s">
        <v>25</v>
      </c>
      <c r="C193" s="421"/>
      <c r="D193" s="421"/>
      <c r="E193" s="347">
        <f t="shared" si="111"/>
        <v>0.4</v>
      </c>
      <c r="F193" s="409"/>
      <c r="G193" s="347">
        <f t="shared" si="112"/>
        <v>0.4</v>
      </c>
      <c r="H193" s="410"/>
      <c r="I193" s="410"/>
      <c r="J193" s="410"/>
      <c r="K193" s="410"/>
      <c r="L193" s="410"/>
      <c r="M193" s="410"/>
      <c r="N193" s="410"/>
      <c r="O193" s="410"/>
      <c r="P193" s="410"/>
      <c r="Q193" s="410"/>
      <c r="R193" s="347">
        <v>0.4</v>
      </c>
      <c r="S193" s="409"/>
      <c r="T193" s="410"/>
      <c r="U193" s="410"/>
      <c r="V193" s="410"/>
      <c r="W193" s="410"/>
      <c r="X193" s="410"/>
      <c r="Y193" s="352">
        <f t="shared" si="113"/>
        <v>7152000</v>
      </c>
      <c r="Z193" s="406"/>
      <c r="AA193" s="407"/>
      <c r="AB193" s="406"/>
      <c r="AC193" s="406"/>
      <c r="AD193" s="406"/>
      <c r="AE193" s="406"/>
      <c r="AF193" s="406"/>
      <c r="AG193" s="406"/>
      <c r="AH193" s="406"/>
      <c r="AI193" s="406"/>
      <c r="AJ193" s="406"/>
      <c r="AK193" s="406"/>
      <c r="AL193" s="406"/>
      <c r="AM193" s="406"/>
      <c r="AN193" s="406"/>
      <c r="AO193" s="406"/>
      <c r="AP193" s="406"/>
      <c r="AQ193" s="406"/>
      <c r="AR193" s="406"/>
      <c r="AS193" s="406"/>
      <c r="AT193" s="405"/>
      <c r="AU193" s="15"/>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row>
    <row r="194" spans="1:75" ht="15.75">
      <c r="A194" s="408">
        <v>20</v>
      </c>
      <c r="B194" s="7" t="s">
        <v>24</v>
      </c>
      <c r="C194" s="421"/>
      <c r="D194" s="421"/>
      <c r="E194" s="347">
        <f t="shared" si="111"/>
        <v>0.4</v>
      </c>
      <c r="F194" s="409"/>
      <c r="G194" s="347">
        <f t="shared" si="112"/>
        <v>0.4</v>
      </c>
      <c r="H194" s="410"/>
      <c r="I194" s="410"/>
      <c r="J194" s="410"/>
      <c r="K194" s="410"/>
      <c r="L194" s="410"/>
      <c r="M194" s="410"/>
      <c r="N194" s="410"/>
      <c r="O194" s="410"/>
      <c r="P194" s="410"/>
      <c r="Q194" s="410"/>
      <c r="R194" s="347">
        <v>0.4</v>
      </c>
      <c r="S194" s="409"/>
      <c r="T194" s="410"/>
      <c r="U194" s="410"/>
      <c r="V194" s="410"/>
      <c r="W194" s="410"/>
      <c r="X194" s="410"/>
      <c r="Y194" s="352">
        <f t="shared" si="113"/>
        <v>7152000</v>
      </c>
      <c r="Z194" s="406"/>
      <c r="AA194" s="407"/>
      <c r="AB194" s="406"/>
      <c r="AC194" s="406"/>
      <c r="AD194" s="406"/>
      <c r="AE194" s="406"/>
      <c r="AF194" s="406"/>
      <c r="AG194" s="406"/>
      <c r="AH194" s="406"/>
      <c r="AI194" s="406"/>
      <c r="AJ194" s="406"/>
      <c r="AK194" s="406"/>
      <c r="AL194" s="406"/>
      <c r="AM194" s="406"/>
      <c r="AN194" s="406"/>
      <c r="AO194" s="406"/>
      <c r="AP194" s="406"/>
      <c r="AQ194" s="406"/>
      <c r="AR194" s="406"/>
      <c r="AS194" s="406"/>
      <c r="AT194" s="405"/>
      <c r="AU194" s="15"/>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row>
    <row r="195" spans="1:75" ht="15.75">
      <c r="A195" s="408">
        <v>21</v>
      </c>
      <c r="B195" s="7" t="s">
        <v>23</v>
      </c>
      <c r="C195" s="421"/>
      <c r="D195" s="421"/>
      <c r="E195" s="347">
        <f t="shared" si="111"/>
        <v>0.4</v>
      </c>
      <c r="F195" s="409"/>
      <c r="G195" s="347">
        <f t="shared" si="112"/>
        <v>0.4</v>
      </c>
      <c r="H195" s="410"/>
      <c r="I195" s="410"/>
      <c r="J195" s="410"/>
      <c r="K195" s="410"/>
      <c r="L195" s="410"/>
      <c r="M195" s="410"/>
      <c r="N195" s="410"/>
      <c r="O195" s="410"/>
      <c r="P195" s="410"/>
      <c r="Q195" s="410"/>
      <c r="R195" s="347">
        <v>0.4</v>
      </c>
      <c r="S195" s="409"/>
      <c r="T195" s="410"/>
      <c r="U195" s="410"/>
      <c r="V195" s="410"/>
      <c r="W195" s="410"/>
      <c r="X195" s="410"/>
      <c r="Y195" s="352">
        <f t="shared" si="113"/>
        <v>7152000</v>
      </c>
      <c r="Z195" s="406"/>
      <c r="AA195" s="407"/>
      <c r="AB195" s="406"/>
      <c r="AC195" s="406"/>
      <c r="AD195" s="406"/>
      <c r="AE195" s="406"/>
      <c r="AF195" s="406"/>
      <c r="AG195" s="406"/>
      <c r="AH195" s="406"/>
      <c r="AI195" s="406"/>
      <c r="AJ195" s="406"/>
      <c r="AK195" s="406"/>
      <c r="AL195" s="406"/>
      <c r="AM195" s="406"/>
      <c r="AN195" s="406"/>
      <c r="AO195" s="406"/>
      <c r="AP195" s="406"/>
      <c r="AQ195" s="406"/>
      <c r="AR195" s="406"/>
      <c r="AS195" s="406"/>
      <c r="AT195" s="405"/>
      <c r="AU195" s="15"/>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row>
    <row r="196" spans="1:75" ht="15.75">
      <c r="A196" s="408">
        <v>22</v>
      </c>
      <c r="B196" s="7" t="s">
        <v>22</v>
      </c>
      <c r="C196" s="421"/>
      <c r="D196" s="421"/>
      <c r="E196" s="347">
        <f t="shared" si="111"/>
        <v>0.4</v>
      </c>
      <c r="F196" s="409"/>
      <c r="G196" s="347">
        <f t="shared" si="112"/>
        <v>0.4</v>
      </c>
      <c r="H196" s="410"/>
      <c r="I196" s="410"/>
      <c r="J196" s="410"/>
      <c r="K196" s="410"/>
      <c r="L196" s="410"/>
      <c r="M196" s="410"/>
      <c r="N196" s="410"/>
      <c r="O196" s="410"/>
      <c r="P196" s="410"/>
      <c r="Q196" s="410"/>
      <c r="R196" s="347">
        <v>0.4</v>
      </c>
      <c r="S196" s="409"/>
      <c r="T196" s="410"/>
      <c r="U196" s="410"/>
      <c r="V196" s="410"/>
      <c r="W196" s="410"/>
      <c r="X196" s="410"/>
      <c r="Y196" s="352">
        <f t="shared" si="113"/>
        <v>7152000</v>
      </c>
      <c r="Z196" s="406"/>
      <c r="AA196" s="407"/>
      <c r="AB196" s="406"/>
      <c r="AC196" s="406"/>
      <c r="AD196" s="406"/>
      <c r="AE196" s="406"/>
      <c r="AF196" s="406"/>
      <c r="AG196" s="406"/>
      <c r="AH196" s="406"/>
      <c r="AI196" s="406"/>
      <c r="AJ196" s="406"/>
      <c r="AK196" s="406"/>
      <c r="AL196" s="406"/>
      <c r="AM196" s="406"/>
      <c r="AN196" s="406"/>
      <c r="AO196" s="406"/>
      <c r="AP196" s="406"/>
      <c r="AQ196" s="406"/>
      <c r="AR196" s="406"/>
      <c r="AS196" s="406"/>
      <c r="AT196" s="405"/>
      <c r="AU196" s="15"/>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row>
    <row r="197" spans="1:75" ht="15.75">
      <c r="A197" s="408">
        <v>23</v>
      </c>
      <c r="B197" s="7" t="s">
        <v>21</v>
      </c>
      <c r="C197" s="421"/>
      <c r="D197" s="421"/>
      <c r="E197" s="347">
        <f t="shared" si="111"/>
        <v>0.4</v>
      </c>
      <c r="F197" s="409"/>
      <c r="G197" s="347">
        <f t="shared" si="112"/>
        <v>0.4</v>
      </c>
      <c r="H197" s="410"/>
      <c r="I197" s="410"/>
      <c r="J197" s="410"/>
      <c r="K197" s="410"/>
      <c r="L197" s="410"/>
      <c r="M197" s="410"/>
      <c r="N197" s="410"/>
      <c r="O197" s="410"/>
      <c r="P197" s="410"/>
      <c r="Q197" s="410"/>
      <c r="R197" s="347">
        <v>0.4</v>
      </c>
      <c r="S197" s="409"/>
      <c r="T197" s="410"/>
      <c r="U197" s="410"/>
      <c r="V197" s="410"/>
      <c r="W197" s="410"/>
      <c r="X197" s="410"/>
      <c r="Y197" s="352">
        <f t="shared" si="113"/>
        <v>7152000</v>
      </c>
      <c r="Z197" s="406"/>
      <c r="AA197" s="407"/>
      <c r="AB197" s="406"/>
      <c r="AC197" s="406"/>
      <c r="AD197" s="406"/>
      <c r="AE197" s="406"/>
      <c r="AF197" s="406"/>
      <c r="AG197" s="406"/>
      <c r="AH197" s="406"/>
      <c r="AI197" s="406"/>
      <c r="AJ197" s="406"/>
      <c r="AK197" s="406"/>
      <c r="AL197" s="406"/>
      <c r="AM197" s="406"/>
      <c r="AN197" s="406"/>
      <c r="AO197" s="406"/>
      <c r="AP197" s="406"/>
      <c r="AQ197" s="406"/>
      <c r="AR197" s="406"/>
      <c r="AS197" s="406"/>
      <c r="AT197" s="405"/>
      <c r="AU197" s="15"/>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row>
    <row r="198" spans="1:75" ht="15.75">
      <c r="A198" s="408">
        <v>24</v>
      </c>
      <c r="B198" s="7" t="s">
        <v>20</v>
      </c>
      <c r="C198" s="421"/>
      <c r="D198" s="421"/>
      <c r="E198" s="347">
        <f t="shared" si="111"/>
        <v>0.4</v>
      </c>
      <c r="F198" s="409"/>
      <c r="G198" s="347">
        <f t="shared" si="112"/>
        <v>0.4</v>
      </c>
      <c r="H198" s="410"/>
      <c r="I198" s="410"/>
      <c r="J198" s="410"/>
      <c r="K198" s="410"/>
      <c r="L198" s="410"/>
      <c r="M198" s="410"/>
      <c r="N198" s="410"/>
      <c r="O198" s="410"/>
      <c r="P198" s="410"/>
      <c r="Q198" s="410"/>
      <c r="R198" s="347">
        <v>0.4</v>
      </c>
      <c r="S198" s="409"/>
      <c r="T198" s="410"/>
      <c r="U198" s="410"/>
      <c r="V198" s="410"/>
      <c r="W198" s="410"/>
      <c r="X198" s="410"/>
      <c r="Y198" s="352">
        <f t="shared" si="113"/>
        <v>7152000</v>
      </c>
      <c r="Z198" s="406"/>
      <c r="AA198" s="407"/>
      <c r="AB198" s="406"/>
      <c r="AC198" s="406"/>
      <c r="AD198" s="406"/>
      <c r="AE198" s="406"/>
      <c r="AF198" s="406"/>
      <c r="AG198" s="406"/>
      <c r="AH198" s="406"/>
      <c r="AI198" s="406"/>
      <c r="AJ198" s="406"/>
      <c r="AK198" s="406"/>
      <c r="AL198" s="406"/>
      <c r="AM198" s="406"/>
      <c r="AN198" s="406"/>
      <c r="AO198" s="406"/>
      <c r="AP198" s="406"/>
      <c r="AQ198" s="406"/>
      <c r="AR198" s="406"/>
      <c r="AS198" s="406"/>
      <c r="AT198" s="405"/>
      <c r="AU198" s="15"/>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row>
    <row r="199" spans="1:75" ht="15.75">
      <c r="A199" s="408">
        <v>25</v>
      </c>
      <c r="B199" s="7" t="s">
        <v>19</v>
      </c>
      <c r="C199" s="421"/>
      <c r="D199" s="421"/>
      <c r="E199" s="347">
        <f t="shared" si="111"/>
        <v>0.4</v>
      </c>
      <c r="F199" s="409"/>
      <c r="G199" s="347">
        <f t="shared" si="112"/>
        <v>0.4</v>
      </c>
      <c r="H199" s="410"/>
      <c r="I199" s="410"/>
      <c r="J199" s="410"/>
      <c r="K199" s="410"/>
      <c r="L199" s="410"/>
      <c r="M199" s="410"/>
      <c r="N199" s="410"/>
      <c r="O199" s="410"/>
      <c r="P199" s="410"/>
      <c r="Q199" s="410"/>
      <c r="R199" s="347">
        <v>0.4</v>
      </c>
      <c r="S199" s="409"/>
      <c r="T199" s="410"/>
      <c r="U199" s="410"/>
      <c r="V199" s="410"/>
      <c r="W199" s="410"/>
      <c r="X199" s="410"/>
      <c r="Y199" s="352">
        <f t="shared" si="113"/>
        <v>7152000</v>
      </c>
      <c r="Z199" s="406"/>
      <c r="AA199" s="407"/>
      <c r="AB199" s="406"/>
      <c r="AC199" s="406"/>
      <c r="AD199" s="406"/>
      <c r="AE199" s="406"/>
      <c r="AF199" s="406"/>
      <c r="AG199" s="406"/>
      <c r="AH199" s="406"/>
      <c r="AI199" s="406"/>
      <c r="AJ199" s="406"/>
      <c r="AK199" s="406"/>
      <c r="AL199" s="406"/>
      <c r="AM199" s="406"/>
      <c r="AN199" s="406"/>
      <c r="AO199" s="406"/>
      <c r="AP199" s="406"/>
      <c r="AQ199" s="406"/>
      <c r="AR199" s="406"/>
      <c r="AS199" s="406"/>
      <c r="AT199" s="405"/>
      <c r="AU199" s="15"/>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row>
    <row r="200" spans="1:75" ht="15.75">
      <c r="A200" s="408">
        <v>26</v>
      </c>
      <c r="B200" s="7" t="s">
        <v>18</v>
      </c>
      <c r="C200" s="421"/>
      <c r="D200" s="421"/>
      <c r="E200" s="347">
        <f t="shared" si="111"/>
        <v>0.4</v>
      </c>
      <c r="F200" s="409"/>
      <c r="G200" s="347">
        <f t="shared" si="112"/>
        <v>0.4</v>
      </c>
      <c r="H200" s="410"/>
      <c r="I200" s="410"/>
      <c r="J200" s="410"/>
      <c r="K200" s="410"/>
      <c r="L200" s="410"/>
      <c r="M200" s="410"/>
      <c r="N200" s="410"/>
      <c r="O200" s="410"/>
      <c r="P200" s="410"/>
      <c r="Q200" s="410"/>
      <c r="R200" s="347">
        <v>0.4</v>
      </c>
      <c r="S200" s="409"/>
      <c r="T200" s="410"/>
      <c r="U200" s="410"/>
      <c r="V200" s="410"/>
      <c r="W200" s="410"/>
      <c r="X200" s="410"/>
      <c r="Y200" s="352">
        <f t="shared" si="113"/>
        <v>7152000</v>
      </c>
      <c r="Z200" s="406"/>
      <c r="AA200" s="407"/>
      <c r="AB200" s="406"/>
      <c r="AC200" s="406"/>
      <c r="AD200" s="406"/>
      <c r="AE200" s="406"/>
      <c r="AF200" s="406"/>
      <c r="AG200" s="406"/>
      <c r="AH200" s="406"/>
      <c r="AI200" s="406"/>
      <c r="AJ200" s="406"/>
      <c r="AK200" s="406"/>
      <c r="AL200" s="406"/>
      <c r="AM200" s="406"/>
      <c r="AN200" s="406"/>
      <c r="AO200" s="406"/>
      <c r="AP200" s="406"/>
      <c r="AQ200" s="406"/>
      <c r="AR200" s="406"/>
      <c r="AS200" s="406"/>
      <c r="AT200" s="405"/>
      <c r="AU200" s="15"/>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row>
    <row r="201" spans="1:75" ht="15.75">
      <c r="A201" s="408">
        <v>27</v>
      </c>
      <c r="B201" s="7" t="s">
        <v>17</v>
      </c>
      <c r="C201" s="421"/>
      <c r="D201" s="421"/>
      <c r="E201" s="347">
        <f t="shared" si="111"/>
        <v>0.4</v>
      </c>
      <c r="F201" s="409"/>
      <c r="G201" s="347">
        <f t="shared" si="112"/>
        <v>0.4</v>
      </c>
      <c r="H201" s="410"/>
      <c r="I201" s="410"/>
      <c r="J201" s="410"/>
      <c r="K201" s="410"/>
      <c r="L201" s="410"/>
      <c r="M201" s="410"/>
      <c r="N201" s="410"/>
      <c r="O201" s="410"/>
      <c r="P201" s="410"/>
      <c r="Q201" s="410"/>
      <c r="R201" s="347">
        <v>0.4</v>
      </c>
      <c r="S201" s="409"/>
      <c r="T201" s="410"/>
      <c r="U201" s="410"/>
      <c r="V201" s="410"/>
      <c r="W201" s="410"/>
      <c r="X201" s="410"/>
      <c r="Y201" s="352">
        <f t="shared" si="113"/>
        <v>7152000</v>
      </c>
      <c r="Z201" s="406"/>
      <c r="AA201" s="407"/>
      <c r="AB201" s="406"/>
      <c r="AC201" s="406"/>
      <c r="AD201" s="406"/>
      <c r="AE201" s="406"/>
      <c r="AF201" s="406"/>
      <c r="AG201" s="406"/>
      <c r="AH201" s="406"/>
      <c r="AI201" s="406"/>
      <c r="AJ201" s="406"/>
      <c r="AK201" s="406"/>
      <c r="AL201" s="406"/>
      <c r="AM201" s="406"/>
      <c r="AN201" s="406"/>
      <c r="AO201" s="406"/>
      <c r="AP201" s="406"/>
      <c r="AQ201" s="406"/>
      <c r="AR201" s="406"/>
      <c r="AS201" s="406"/>
      <c r="AT201" s="405"/>
      <c r="AU201" s="15"/>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row>
    <row r="202" spans="1:75" ht="15.75">
      <c r="A202" s="395"/>
      <c r="B202" s="396"/>
      <c r="C202" s="419"/>
      <c r="D202" s="419"/>
      <c r="E202" s="269"/>
      <c r="F202" s="276"/>
      <c r="G202" s="269"/>
      <c r="H202" s="269"/>
      <c r="I202" s="269"/>
      <c r="J202" s="269"/>
      <c r="K202" s="269"/>
      <c r="L202" s="269"/>
      <c r="M202" s="269"/>
      <c r="N202" s="269"/>
      <c r="O202" s="269"/>
      <c r="P202" s="269"/>
      <c r="Q202" s="269"/>
      <c r="R202" s="269"/>
      <c r="S202" s="276"/>
      <c r="T202" s="269"/>
      <c r="U202" s="269"/>
      <c r="V202" s="269"/>
      <c r="W202" s="269"/>
      <c r="X202" s="270"/>
      <c r="Y202" s="277">
        <f t="shared" si="113"/>
        <v>0</v>
      </c>
      <c r="Z202" s="406"/>
      <c r="AA202" s="407"/>
      <c r="AB202" s="406"/>
      <c r="AC202" s="406"/>
      <c r="AD202" s="406"/>
      <c r="AE202" s="406"/>
      <c r="AF202" s="406"/>
      <c r="AG202" s="406"/>
      <c r="AH202" s="406"/>
      <c r="AI202" s="406"/>
      <c r="AJ202" s="406"/>
      <c r="AK202" s="406"/>
      <c r="AL202" s="406"/>
      <c r="AM202" s="406"/>
      <c r="AN202" s="406"/>
      <c r="AO202" s="406"/>
      <c r="AP202" s="406"/>
      <c r="AQ202" s="406"/>
      <c r="AR202" s="406"/>
      <c r="AS202" s="406"/>
      <c r="AT202" s="405"/>
      <c r="AU202" s="9"/>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row>
    <row r="203" spans="1:75" ht="15">
      <c r="A203" s="4"/>
      <c r="B203" s="3"/>
      <c r="C203" s="422"/>
      <c r="D203" s="422"/>
      <c r="E203" s="247"/>
      <c r="F203" s="238"/>
      <c r="G203" s="237"/>
      <c r="H203" s="237"/>
      <c r="I203" s="237"/>
      <c r="J203" s="237"/>
      <c r="K203" s="237"/>
      <c r="L203" s="237"/>
      <c r="M203" s="237"/>
      <c r="N203" s="237"/>
      <c r="O203" s="247"/>
      <c r="P203" s="237"/>
      <c r="Q203" s="237"/>
      <c r="R203" s="237"/>
      <c r="S203" s="238"/>
      <c r="T203" s="237"/>
      <c r="U203" s="247"/>
      <c r="V203" s="247"/>
      <c r="W203" s="247"/>
      <c r="X203" s="237"/>
      <c r="Y203" s="239"/>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row>
  </sheetData>
  <sheetProtection/>
  <mergeCells count="22">
    <mergeCell ref="Y7:Y9"/>
    <mergeCell ref="Z7:Z9"/>
    <mergeCell ref="AS8:AS9"/>
    <mergeCell ref="AA7:AS7"/>
    <mergeCell ref="A2:S2"/>
    <mergeCell ref="A4:Z4"/>
    <mergeCell ref="A5:Z5"/>
    <mergeCell ref="A7:A9"/>
    <mergeCell ref="B7:B9"/>
    <mergeCell ref="C7:C9"/>
    <mergeCell ref="D7:D9"/>
    <mergeCell ref="E7:X7"/>
    <mergeCell ref="E8:E9"/>
    <mergeCell ref="F8:F9"/>
    <mergeCell ref="G8:G9"/>
    <mergeCell ref="H8:X8"/>
    <mergeCell ref="AU7:AU9"/>
    <mergeCell ref="AT7:AT9"/>
    <mergeCell ref="AA8:AA9"/>
    <mergeCell ref="AB8:AB9"/>
    <mergeCell ref="AC8:AC9"/>
    <mergeCell ref="AD8:AR8"/>
  </mergeCells>
  <printOptions/>
  <pageMargins left="0.7" right="0.7" top="0.75" bottom="0.75" header="0.3" footer="0.3"/>
  <pageSetup horizontalDpi="600" verticalDpi="600" orientation="landscape" paperSize="9" scale="40" r:id="rId1"/>
</worksheet>
</file>

<file path=xl/worksheets/sheet5.xml><?xml version="1.0" encoding="utf-8"?>
<worksheet xmlns="http://schemas.openxmlformats.org/spreadsheetml/2006/main" xmlns:r="http://schemas.openxmlformats.org/officeDocument/2006/relationships">
  <sheetPr>
    <tabColor rgb="FFC00000"/>
  </sheetPr>
  <dimension ref="A1:BW158"/>
  <sheetViews>
    <sheetView zoomScale="80" zoomScaleNormal="80" zoomScalePageLayoutView="0" workbookViewId="0" topLeftCell="A1">
      <pane ySplit="9" topLeftCell="A157" activePane="bottomLeft" state="frozen"/>
      <selection pane="topLeft" activeCell="A1" sqref="A1"/>
      <selection pane="bottomLeft" activeCell="W158" sqref="W158"/>
    </sheetView>
  </sheetViews>
  <sheetFormatPr defaultColWidth="9.140625" defaultRowHeight="15"/>
  <cols>
    <col min="1" max="1" width="6.00390625" style="33" customWidth="1"/>
    <col min="2" max="2" width="44.28125" style="64" customWidth="1"/>
    <col min="3" max="3" width="9.7109375" style="65" customWidth="1"/>
    <col min="4" max="4" width="11.140625" style="66" customWidth="1"/>
    <col min="5" max="5" width="9.8515625" style="65" customWidth="1"/>
    <col min="6" max="6" width="8.140625" style="65" customWidth="1"/>
    <col min="7" max="7" width="10.00390625" style="65" customWidth="1"/>
    <col min="8" max="8" width="7.7109375" style="65" customWidth="1"/>
    <col min="9" max="9" width="6.8515625" style="65" customWidth="1"/>
    <col min="10" max="10" width="8.57421875" style="65" customWidth="1"/>
    <col min="11" max="11" width="6.421875" style="65" customWidth="1"/>
    <col min="12" max="12" width="8.28125" style="65" customWidth="1"/>
    <col min="13" max="13" width="7.7109375" style="65" customWidth="1"/>
    <col min="14" max="14" width="9.57421875" style="65" customWidth="1"/>
    <col min="15" max="15" width="6.7109375" style="65" customWidth="1"/>
    <col min="16" max="16" width="6.57421875" style="65" customWidth="1"/>
    <col min="17" max="17" width="6.8515625" style="65" customWidth="1"/>
    <col min="18" max="19" width="9.140625" style="65" customWidth="1"/>
    <col min="20" max="20" width="7.8515625" style="65" customWidth="1"/>
    <col min="21" max="21" width="6.57421875" style="65" customWidth="1"/>
    <col min="22" max="22" width="11.8515625" style="65" customWidth="1"/>
    <col min="23" max="23" width="19.00390625" style="88" customWidth="1"/>
    <col min="24" max="24" width="13.421875" style="33" customWidth="1"/>
    <col min="25" max="25" width="15.140625" style="33" bestFit="1" customWidth="1"/>
    <col min="26" max="26" width="12.28125" style="33" bestFit="1" customWidth="1"/>
    <col min="27" max="16384" width="9.140625" style="33" customWidth="1"/>
  </cols>
  <sheetData>
    <row r="1" spans="1:23" s="28" customFormat="1" ht="12.75">
      <c r="A1" s="28" t="s">
        <v>1</v>
      </c>
      <c r="B1" s="29"/>
      <c r="C1" s="30"/>
      <c r="D1" s="31"/>
      <c r="E1" s="30"/>
      <c r="F1" s="30"/>
      <c r="G1" s="30"/>
      <c r="H1" s="30"/>
      <c r="I1" s="30"/>
      <c r="J1" s="30"/>
      <c r="K1" s="30"/>
      <c r="L1" s="30"/>
      <c r="M1" s="30"/>
      <c r="N1" s="30"/>
      <c r="O1" s="30"/>
      <c r="P1" s="30"/>
      <c r="Q1" s="30"/>
      <c r="R1" s="30"/>
      <c r="S1" s="30"/>
      <c r="T1" s="30"/>
      <c r="U1" s="30"/>
      <c r="V1" s="30" t="s">
        <v>223</v>
      </c>
      <c r="W1" s="79"/>
    </row>
    <row r="2" spans="1:23" ht="15" customHeight="1" hidden="1">
      <c r="A2" s="830" t="s">
        <v>221</v>
      </c>
      <c r="B2" s="830"/>
      <c r="C2" s="830"/>
      <c r="D2" s="32"/>
      <c r="E2" s="32"/>
      <c r="F2" s="32"/>
      <c r="G2" s="32"/>
      <c r="H2" s="32"/>
      <c r="I2" s="32"/>
      <c r="J2" s="32"/>
      <c r="K2" s="32"/>
      <c r="L2" s="32"/>
      <c r="M2" s="32"/>
      <c r="N2" s="32"/>
      <c r="O2" s="32"/>
      <c r="P2" s="32"/>
      <c r="Q2" s="32"/>
      <c r="R2" s="32"/>
      <c r="S2" s="32"/>
      <c r="T2" s="32"/>
      <c r="U2" s="32"/>
      <c r="V2" s="32"/>
      <c r="W2" s="80"/>
    </row>
    <row r="3" spans="1:23" ht="15" customHeight="1" hidden="1">
      <c r="A3" s="34"/>
      <c r="B3" s="29"/>
      <c r="C3" s="35"/>
      <c r="D3" s="31"/>
      <c r="E3" s="35"/>
      <c r="F3" s="35"/>
      <c r="G3" s="35"/>
      <c r="H3" s="35"/>
      <c r="I3" s="35"/>
      <c r="J3" s="35"/>
      <c r="K3" s="35"/>
      <c r="L3" s="35"/>
      <c r="M3" s="35"/>
      <c r="N3" s="35"/>
      <c r="O3" s="35"/>
      <c r="P3" s="35"/>
      <c r="Q3" s="35"/>
      <c r="R3" s="35"/>
      <c r="S3" s="35"/>
      <c r="T3" s="35"/>
      <c r="U3" s="35"/>
      <c r="V3" s="35"/>
      <c r="W3" s="81"/>
    </row>
    <row r="4" spans="1:24" ht="15" customHeight="1">
      <c r="A4" s="830" t="s">
        <v>224</v>
      </c>
      <c r="B4" s="830"/>
      <c r="C4" s="830"/>
      <c r="D4" s="830"/>
      <c r="E4" s="830"/>
      <c r="F4" s="830"/>
      <c r="G4" s="830"/>
      <c r="H4" s="830"/>
      <c r="I4" s="830"/>
      <c r="J4" s="830"/>
      <c r="K4" s="830"/>
      <c r="L4" s="830"/>
      <c r="M4" s="830"/>
      <c r="N4" s="830"/>
      <c r="O4" s="830"/>
      <c r="P4" s="830"/>
      <c r="Q4" s="830"/>
      <c r="R4" s="830"/>
      <c r="S4" s="830"/>
      <c r="T4" s="830"/>
      <c r="U4" s="830"/>
      <c r="V4" s="830"/>
      <c r="W4" s="830"/>
      <c r="X4" s="830"/>
    </row>
    <row r="5" spans="1:24" ht="15" customHeight="1">
      <c r="A5" s="831" t="s">
        <v>225</v>
      </c>
      <c r="B5" s="831"/>
      <c r="C5" s="831"/>
      <c r="D5" s="831"/>
      <c r="E5" s="831"/>
      <c r="F5" s="831"/>
      <c r="G5" s="831"/>
      <c r="H5" s="831"/>
      <c r="I5" s="831"/>
      <c r="J5" s="831"/>
      <c r="K5" s="831"/>
      <c r="L5" s="831"/>
      <c r="M5" s="831"/>
      <c r="N5" s="831"/>
      <c r="O5" s="831"/>
      <c r="P5" s="831"/>
      <c r="Q5" s="831"/>
      <c r="R5" s="831"/>
      <c r="S5" s="831"/>
      <c r="T5" s="831"/>
      <c r="U5" s="831"/>
      <c r="V5" s="831"/>
      <c r="W5" s="831"/>
      <c r="X5" s="831"/>
    </row>
    <row r="6" spans="1:24" ht="15" customHeight="1">
      <c r="A6" s="34"/>
      <c r="B6" s="29"/>
      <c r="C6" s="35"/>
      <c r="D6" s="31"/>
      <c r="E6" s="35"/>
      <c r="F6" s="35"/>
      <c r="G6" s="35"/>
      <c r="H6" s="35"/>
      <c r="I6" s="35"/>
      <c r="J6" s="35"/>
      <c r="K6" s="35"/>
      <c r="L6" s="35"/>
      <c r="M6" s="35"/>
      <c r="N6" s="35"/>
      <c r="O6" s="35"/>
      <c r="P6" s="35"/>
      <c r="Q6" s="35"/>
      <c r="R6" s="35"/>
      <c r="S6" s="35"/>
      <c r="T6" s="35"/>
      <c r="U6" s="35"/>
      <c r="V6" s="35"/>
      <c r="W6" s="81"/>
      <c r="X6" s="36"/>
    </row>
    <row r="7" spans="1:24" ht="15" customHeight="1">
      <c r="A7" s="832" t="s">
        <v>0</v>
      </c>
      <c r="B7" s="832" t="s">
        <v>219</v>
      </c>
      <c r="C7" s="835" t="s">
        <v>226</v>
      </c>
      <c r="D7" s="838" t="s">
        <v>227</v>
      </c>
      <c r="E7" s="838"/>
      <c r="F7" s="838"/>
      <c r="G7" s="838"/>
      <c r="H7" s="838"/>
      <c r="I7" s="838"/>
      <c r="J7" s="838"/>
      <c r="K7" s="838"/>
      <c r="L7" s="838"/>
      <c r="M7" s="838"/>
      <c r="N7" s="838"/>
      <c r="O7" s="838"/>
      <c r="P7" s="838"/>
      <c r="Q7" s="838"/>
      <c r="R7" s="838"/>
      <c r="S7" s="838"/>
      <c r="T7" s="838"/>
      <c r="U7" s="838"/>
      <c r="V7" s="838"/>
      <c r="W7" s="839" t="s">
        <v>222</v>
      </c>
      <c r="X7" s="842" t="s">
        <v>3</v>
      </c>
    </row>
    <row r="8" spans="1:24" s="37" customFormat="1" ht="28.5" customHeight="1">
      <c r="A8" s="833"/>
      <c r="B8" s="833"/>
      <c r="C8" s="836"/>
      <c r="D8" s="843" t="s">
        <v>16</v>
      </c>
      <c r="E8" s="837" t="s">
        <v>214</v>
      </c>
      <c r="F8" s="837" t="s">
        <v>213</v>
      </c>
      <c r="G8" s="845" t="s">
        <v>12</v>
      </c>
      <c r="H8" s="846"/>
      <c r="I8" s="846"/>
      <c r="J8" s="846"/>
      <c r="K8" s="846"/>
      <c r="L8" s="846"/>
      <c r="M8" s="846"/>
      <c r="N8" s="846"/>
      <c r="O8" s="846"/>
      <c r="P8" s="846"/>
      <c r="Q8" s="846"/>
      <c r="R8" s="846"/>
      <c r="S8" s="846"/>
      <c r="T8" s="846"/>
      <c r="U8" s="846"/>
      <c r="V8" s="829" t="s">
        <v>196</v>
      </c>
      <c r="W8" s="840"/>
      <c r="X8" s="842"/>
    </row>
    <row r="9" spans="1:25" s="37" customFormat="1" ht="148.5" customHeight="1">
      <c r="A9" s="834"/>
      <c r="B9" s="834"/>
      <c r="C9" s="837"/>
      <c r="D9" s="844"/>
      <c r="E9" s="829"/>
      <c r="F9" s="829"/>
      <c r="G9" s="38" t="s">
        <v>212</v>
      </c>
      <c r="H9" s="38" t="s">
        <v>228</v>
      </c>
      <c r="I9" s="38" t="s">
        <v>210</v>
      </c>
      <c r="J9" s="38" t="s">
        <v>209</v>
      </c>
      <c r="K9" s="38" t="s">
        <v>208</v>
      </c>
      <c r="L9" s="38" t="s">
        <v>207</v>
      </c>
      <c r="M9" s="38" t="s">
        <v>206</v>
      </c>
      <c r="N9" s="38" t="s">
        <v>205</v>
      </c>
      <c r="O9" s="38" t="s">
        <v>204</v>
      </c>
      <c r="P9" s="38" t="s">
        <v>203</v>
      </c>
      <c r="Q9" s="38" t="s">
        <v>202</v>
      </c>
      <c r="R9" s="38" t="s">
        <v>201</v>
      </c>
      <c r="S9" s="38" t="s">
        <v>200</v>
      </c>
      <c r="T9" s="38" t="s">
        <v>229</v>
      </c>
      <c r="U9" s="39" t="s">
        <v>197</v>
      </c>
      <c r="V9" s="829"/>
      <c r="W9" s="841"/>
      <c r="X9" s="842"/>
      <c r="Y9" s="40"/>
    </row>
    <row r="10" spans="1:24" s="46" customFormat="1" ht="24" customHeight="1">
      <c r="A10" s="41">
        <v>1</v>
      </c>
      <c r="B10" s="42" t="s">
        <v>195</v>
      </c>
      <c r="C10" s="43" t="s">
        <v>194</v>
      </c>
      <c r="D10" s="44">
        <v>4</v>
      </c>
      <c r="E10" s="43">
        <v>5</v>
      </c>
      <c r="F10" s="43">
        <v>6</v>
      </c>
      <c r="G10" s="43">
        <v>7</v>
      </c>
      <c r="H10" s="43">
        <v>8</v>
      </c>
      <c r="I10" s="43">
        <v>9</v>
      </c>
      <c r="J10" s="43">
        <v>10</v>
      </c>
      <c r="K10" s="43">
        <v>11</v>
      </c>
      <c r="L10" s="43">
        <v>12</v>
      </c>
      <c r="M10" s="43">
        <v>13</v>
      </c>
      <c r="N10" s="43">
        <v>14</v>
      </c>
      <c r="O10" s="43">
        <v>15</v>
      </c>
      <c r="P10" s="43">
        <v>16</v>
      </c>
      <c r="Q10" s="43">
        <v>17</v>
      </c>
      <c r="R10" s="43">
        <v>18</v>
      </c>
      <c r="S10" s="43">
        <v>19</v>
      </c>
      <c r="T10" s="43">
        <v>20</v>
      </c>
      <c r="U10" s="43">
        <v>21</v>
      </c>
      <c r="V10" s="43">
        <v>22</v>
      </c>
      <c r="W10" s="82" t="s">
        <v>230</v>
      </c>
      <c r="X10" s="45"/>
    </row>
    <row r="11" spans="1:24" s="49" customFormat="1" ht="18" customHeight="1">
      <c r="A11" s="47"/>
      <c r="B11" s="47" t="s">
        <v>172</v>
      </c>
      <c r="C11" s="48"/>
      <c r="D11" s="48"/>
      <c r="E11" s="48"/>
      <c r="F11" s="48"/>
      <c r="G11" s="48"/>
      <c r="H11" s="48"/>
      <c r="I11" s="48"/>
      <c r="J11" s="48"/>
      <c r="K11" s="48"/>
      <c r="L11" s="48"/>
      <c r="M11" s="48"/>
      <c r="N11" s="48"/>
      <c r="O11" s="48"/>
      <c r="P11" s="48"/>
      <c r="Q11" s="48"/>
      <c r="R11" s="48"/>
      <c r="S11" s="48"/>
      <c r="T11" s="48"/>
      <c r="U11" s="48"/>
      <c r="V11" s="48"/>
      <c r="W11" s="83"/>
      <c r="X11" s="48"/>
    </row>
    <row r="12" spans="1:24" s="49" customFormat="1" ht="21" customHeight="1">
      <c r="A12" s="50" t="s">
        <v>4</v>
      </c>
      <c r="B12" s="51" t="s">
        <v>171</v>
      </c>
      <c r="C12" s="48"/>
      <c r="D12" s="48"/>
      <c r="E12" s="48"/>
      <c r="F12" s="48"/>
      <c r="G12" s="48"/>
      <c r="H12" s="48"/>
      <c r="I12" s="48"/>
      <c r="J12" s="48"/>
      <c r="K12" s="48"/>
      <c r="L12" s="48"/>
      <c r="M12" s="48"/>
      <c r="N12" s="48"/>
      <c r="O12" s="48"/>
      <c r="P12" s="48"/>
      <c r="Q12" s="48"/>
      <c r="R12" s="48"/>
      <c r="S12" s="48"/>
      <c r="T12" s="48"/>
      <c r="U12" s="48"/>
      <c r="V12" s="48"/>
      <c r="W12" s="83">
        <f>W13+W22+W30+W38+W92</f>
        <v>12820053118.95</v>
      </c>
      <c r="X12" s="48"/>
    </row>
    <row r="13" spans="1:24" s="49" customFormat="1" ht="12.75">
      <c r="A13" s="50">
        <v>1</v>
      </c>
      <c r="B13" s="51" t="s">
        <v>231</v>
      </c>
      <c r="C13" s="52">
        <f>+C19</f>
        <v>0</v>
      </c>
      <c r="D13" s="52">
        <f>SUM(D15:D21)</f>
        <v>38.373000000000005</v>
      </c>
      <c r="E13" s="52">
        <f aca="true" t="shared" si="0" ref="E13:X13">SUM(E15:E21)</f>
        <v>19.81</v>
      </c>
      <c r="F13" s="52">
        <f t="shared" si="0"/>
        <v>13.8254</v>
      </c>
      <c r="G13" s="52">
        <f t="shared" si="0"/>
        <v>4.2</v>
      </c>
      <c r="H13" s="52">
        <f t="shared" si="0"/>
        <v>0.35</v>
      </c>
      <c r="I13" s="52">
        <f t="shared" si="0"/>
        <v>0.24359999999999996</v>
      </c>
      <c r="J13" s="52">
        <f t="shared" si="0"/>
        <v>9.031799999999999</v>
      </c>
      <c r="K13" s="52">
        <f t="shared" si="0"/>
        <v>0</v>
      </c>
      <c r="L13" s="52">
        <f t="shared" si="0"/>
        <v>0</v>
      </c>
      <c r="M13" s="52">
        <f t="shared" si="0"/>
        <v>0</v>
      </c>
      <c r="N13" s="52">
        <f t="shared" si="0"/>
        <v>0</v>
      </c>
      <c r="O13" s="52">
        <f t="shared" si="0"/>
        <v>0</v>
      </c>
      <c r="P13" s="52">
        <f t="shared" si="0"/>
        <v>0</v>
      </c>
      <c r="Q13" s="52">
        <f t="shared" si="0"/>
        <v>0</v>
      </c>
      <c r="R13" s="52">
        <f t="shared" si="0"/>
        <v>0</v>
      </c>
      <c r="S13" s="52">
        <f t="shared" si="0"/>
        <v>0</v>
      </c>
      <c r="T13" s="52">
        <f t="shared" si="0"/>
        <v>0</v>
      </c>
      <c r="U13" s="52">
        <f t="shared" si="0"/>
        <v>0</v>
      </c>
      <c r="V13" s="52">
        <f t="shared" si="0"/>
        <v>4.7376</v>
      </c>
      <c r="W13" s="84">
        <f t="shared" si="0"/>
        <v>596385835.5</v>
      </c>
      <c r="X13" s="52">
        <f t="shared" si="0"/>
        <v>0</v>
      </c>
    </row>
    <row r="14" spans="1:24" s="49" customFormat="1" ht="25.5">
      <c r="A14" s="89" t="s">
        <v>88</v>
      </c>
      <c r="B14" s="90" t="s">
        <v>235</v>
      </c>
      <c r="C14" s="91">
        <v>6</v>
      </c>
      <c r="D14" s="91">
        <f>SUM(D15:D21)</f>
        <v>38.373000000000005</v>
      </c>
      <c r="E14" s="91">
        <f>SUM(E15:E21)</f>
        <v>19.81</v>
      </c>
      <c r="F14" s="91">
        <f>SUM(F15:F21)</f>
        <v>13.8254</v>
      </c>
      <c r="G14" s="91">
        <f>SUM(G15:G21)</f>
        <v>4.2</v>
      </c>
      <c r="H14" s="91">
        <f>SUM(H15:H21)</f>
        <v>0.35</v>
      </c>
      <c r="I14" s="91">
        <f aca="true" t="shared" si="1" ref="I14:U14">SUM(I15:I21)</f>
        <v>0.24359999999999996</v>
      </c>
      <c r="J14" s="91">
        <f>SUM(J15:J21)</f>
        <v>9.031799999999999</v>
      </c>
      <c r="K14" s="91">
        <f t="shared" si="1"/>
        <v>0</v>
      </c>
      <c r="L14" s="91">
        <f>SUM(L15:L21)</f>
        <v>0</v>
      </c>
      <c r="M14" s="91">
        <f t="shared" si="1"/>
        <v>0</v>
      </c>
      <c r="N14" s="91">
        <f t="shared" si="1"/>
        <v>0</v>
      </c>
      <c r="O14" s="91">
        <f t="shared" si="1"/>
        <v>0</v>
      </c>
      <c r="P14" s="91">
        <f t="shared" si="1"/>
        <v>0</v>
      </c>
      <c r="Q14" s="91">
        <f t="shared" si="1"/>
        <v>0</v>
      </c>
      <c r="R14" s="91">
        <f t="shared" si="1"/>
        <v>0</v>
      </c>
      <c r="S14" s="91">
        <f t="shared" si="1"/>
        <v>0</v>
      </c>
      <c r="T14" s="91">
        <f t="shared" si="1"/>
        <v>0</v>
      </c>
      <c r="U14" s="91">
        <f t="shared" si="1"/>
        <v>0</v>
      </c>
      <c r="V14" s="91">
        <f>SUM(V15:V21)</f>
        <v>4.7376</v>
      </c>
      <c r="W14" s="91">
        <f>SUM(W15:W21)</f>
        <v>596385835.5</v>
      </c>
      <c r="X14" s="91"/>
    </row>
    <row r="15" spans="1:25" s="46" customFormat="1" ht="30" customHeight="1">
      <c r="A15" s="76">
        <v>1</v>
      </c>
      <c r="B15" s="67" t="s">
        <v>169</v>
      </c>
      <c r="C15" s="69"/>
      <c r="D15" s="77">
        <f aca="true" t="shared" si="2" ref="D15:D21">E15+F15+V15</f>
        <v>8.109499999999999</v>
      </c>
      <c r="E15" s="68">
        <v>4.06</v>
      </c>
      <c r="F15" s="69">
        <f>SUM(G15:U15)</f>
        <v>3.0953999999999997</v>
      </c>
      <c r="G15" s="70">
        <v>0.7</v>
      </c>
      <c r="H15" s="69"/>
      <c r="I15" s="69">
        <f>E15*6%</f>
        <v>0.24359999999999996</v>
      </c>
      <c r="J15" s="71">
        <f>(E15+H15+I15)*50%</f>
        <v>2.1517999999999997</v>
      </c>
      <c r="K15" s="69"/>
      <c r="L15" s="72"/>
      <c r="M15" s="69"/>
      <c r="N15" s="69"/>
      <c r="O15" s="69"/>
      <c r="P15" s="69"/>
      <c r="Q15" s="69"/>
      <c r="R15" s="69"/>
      <c r="S15" s="69"/>
      <c r="T15" s="69"/>
      <c r="U15" s="69"/>
      <c r="V15" s="73">
        <f>(E15+H15)*23.5%</f>
        <v>0.9540999999999998</v>
      </c>
      <c r="W15" s="87">
        <f>(D15*9*1490000)+(8.41*1490000*3)</f>
        <v>146341095</v>
      </c>
      <c r="X15" s="69"/>
      <c r="Y15" s="78">
        <f>J15+L15+G15</f>
        <v>2.8518</v>
      </c>
    </row>
    <row r="16" spans="1:24" s="46" customFormat="1" ht="30" customHeight="1">
      <c r="A16" s="76">
        <v>2</v>
      </c>
      <c r="B16" s="74" t="s">
        <v>168</v>
      </c>
      <c r="C16" s="69"/>
      <c r="D16" s="77">
        <f t="shared" si="2"/>
        <v>4.7599</v>
      </c>
      <c r="E16" s="75">
        <v>2.34</v>
      </c>
      <c r="F16" s="69">
        <f aca="true" t="shared" si="3" ref="F16:F21">SUM(G16:U16)</f>
        <v>1.8699999999999999</v>
      </c>
      <c r="G16" s="70">
        <v>0.7</v>
      </c>
      <c r="H16" s="69"/>
      <c r="I16" s="69"/>
      <c r="J16" s="71">
        <f aca="true" t="shared" si="4" ref="J16:J21">(E16+H16)*50%</f>
        <v>1.17</v>
      </c>
      <c r="K16" s="69"/>
      <c r="L16" s="69"/>
      <c r="M16" s="69"/>
      <c r="N16" s="69"/>
      <c r="O16" s="69"/>
      <c r="P16" s="69"/>
      <c r="Q16" s="69"/>
      <c r="R16" s="69"/>
      <c r="S16" s="69"/>
      <c r="T16" s="69"/>
      <c r="U16" s="69"/>
      <c r="V16" s="73">
        <f aca="true" t="shared" si="5" ref="V16:V21">(E16+H16)*23.5%</f>
        <v>0.5498999999999999</v>
      </c>
      <c r="W16" s="87">
        <f>D16*12*1490000</f>
        <v>85107012</v>
      </c>
      <c r="X16" s="69"/>
    </row>
    <row r="17" spans="1:24" s="46" customFormat="1" ht="30" customHeight="1">
      <c r="A17" s="76">
        <v>3</v>
      </c>
      <c r="B17" s="74" t="s">
        <v>233</v>
      </c>
      <c r="C17" s="69"/>
      <c r="D17" s="77">
        <f t="shared" si="2"/>
        <v>4.7599</v>
      </c>
      <c r="E17" s="75">
        <v>2.34</v>
      </c>
      <c r="F17" s="69">
        <f t="shared" si="3"/>
        <v>1.8699999999999999</v>
      </c>
      <c r="G17" s="70">
        <v>0.7</v>
      </c>
      <c r="H17" s="69"/>
      <c r="I17" s="69"/>
      <c r="J17" s="71">
        <f t="shared" si="4"/>
        <v>1.17</v>
      </c>
      <c r="K17" s="69"/>
      <c r="L17" s="69"/>
      <c r="M17" s="69"/>
      <c r="N17" s="69"/>
      <c r="O17" s="69"/>
      <c r="P17" s="69"/>
      <c r="Q17" s="69"/>
      <c r="R17" s="69"/>
      <c r="S17" s="69"/>
      <c r="T17" s="69"/>
      <c r="U17" s="69"/>
      <c r="V17" s="73">
        <f t="shared" si="5"/>
        <v>0.5498999999999999</v>
      </c>
      <c r="W17" s="87">
        <f>D17*12*1490000</f>
        <v>85107012</v>
      </c>
      <c r="X17" s="69"/>
    </row>
    <row r="18" spans="1:24" s="46" customFormat="1" ht="30" customHeight="1">
      <c r="A18" s="76">
        <v>4</v>
      </c>
      <c r="B18" s="74" t="s">
        <v>165</v>
      </c>
      <c r="C18" s="69"/>
      <c r="D18" s="77">
        <f t="shared" si="2"/>
        <v>4.3435</v>
      </c>
      <c r="E18" s="75">
        <v>2.1</v>
      </c>
      <c r="F18" s="69">
        <f t="shared" si="3"/>
        <v>1.75</v>
      </c>
      <c r="G18" s="70">
        <v>0.7</v>
      </c>
      <c r="H18" s="69"/>
      <c r="I18" s="69"/>
      <c r="J18" s="71">
        <f t="shared" si="4"/>
        <v>1.05</v>
      </c>
      <c r="K18" s="69"/>
      <c r="L18" s="69"/>
      <c r="M18" s="69"/>
      <c r="N18" s="69"/>
      <c r="O18" s="69"/>
      <c r="P18" s="69"/>
      <c r="Q18" s="69"/>
      <c r="R18" s="69"/>
      <c r="S18" s="69"/>
      <c r="T18" s="69"/>
      <c r="U18" s="69"/>
      <c r="V18" s="73">
        <f t="shared" si="5"/>
        <v>0.4935</v>
      </c>
      <c r="W18" s="87">
        <f>D18*12*1490000</f>
        <v>77661780</v>
      </c>
      <c r="X18" s="69"/>
    </row>
    <row r="19" spans="1:24" s="46" customFormat="1" ht="30" customHeight="1">
      <c r="A19" s="76">
        <v>5</v>
      </c>
      <c r="B19" s="74" t="s">
        <v>167</v>
      </c>
      <c r="C19" s="69"/>
      <c r="D19" s="77">
        <f t="shared" si="2"/>
        <v>5.33245</v>
      </c>
      <c r="E19" s="75">
        <v>2.67</v>
      </c>
      <c r="F19" s="69">
        <f t="shared" si="3"/>
        <v>2.035</v>
      </c>
      <c r="G19" s="70">
        <v>0.7</v>
      </c>
      <c r="H19" s="69"/>
      <c r="I19" s="69"/>
      <c r="J19" s="71">
        <f t="shared" si="4"/>
        <v>1.335</v>
      </c>
      <c r="K19" s="69"/>
      <c r="L19" s="69"/>
      <c r="M19" s="69"/>
      <c r="N19" s="69"/>
      <c r="O19" s="69"/>
      <c r="P19" s="69"/>
      <c r="Q19" s="69"/>
      <c r="R19" s="69"/>
      <c r="S19" s="69"/>
      <c r="T19" s="69"/>
      <c r="U19" s="69"/>
      <c r="V19" s="73">
        <f t="shared" si="5"/>
        <v>0.62745</v>
      </c>
      <c r="W19" s="87">
        <f>D19*12*1490000</f>
        <v>95344206</v>
      </c>
      <c r="X19" s="69"/>
    </row>
    <row r="20" spans="1:26" s="46" customFormat="1" ht="30" customHeight="1">
      <c r="A20" s="76"/>
      <c r="B20" s="67" t="s">
        <v>266</v>
      </c>
      <c r="C20" s="69"/>
      <c r="D20" s="77">
        <f t="shared" si="2"/>
        <v>2.8899</v>
      </c>
      <c r="E20" s="68">
        <v>2.34</v>
      </c>
      <c r="F20" s="69">
        <f t="shared" si="3"/>
        <v>0</v>
      </c>
      <c r="G20" s="70"/>
      <c r="H20" s="69"/>
      <c r="I20" s="69"/>
      <c r="J20" s="71"/>
      <c r="K20" s="69"/>
      <c r="L20" s="69"/>
      <c r="M20" s="69"/>
      <c r="N20" s="69"/>
      <c r="O20" s="69"/>
      <c r="P20" s="69"/>
      <c r="Q20" s="69"/>
      <c r="R20" s="69"/>
      <c r="S20" s="69"/>
      <c r="T20" s="69"/>
      <c r="U20" s="69"/>
      <c r="V20" s="73">
        <f t="shared" si="5"/>
        <v>0.5498999999999999</v>
      </c>
      <c r="W20" s="87">
        <f>D20*5*1490000</f>
        <v>21529755</v>
      </c>
      <c r="X20" s="69"/>
      <c r="Z20" s="46">
        <f>W20+W29</f>
        <v>73201167</v>
      </c>
    </row>
    <row r="21" spans="1:24" s="46" customFormat="1" ht="30" customHeight="1">
      <c r="A21" s="76">
        <v>6</v>
      </c>
      <c r="B21" s="67" t="s">
        <v>234</v>
      </c>
      <c r="C21" s="69"/>
      <c r="D21" s="77">
        <f t="shared" si="2"/>
        <v>8.17785</v>
      </c>
      <c r="E21" s="68">
        <v>3.96</v>
      </c>
      <c r="F21" s="69">
        <f t="shared" si="3"/>
        <v>3.2049999999999996</v>
      </c>
      <c r="G21" s="70">
        <v>0.7</v>
      </c>
      <c r="H21" s="69">
        <v>0.35</v>
      </c>
      <c r="I21" s="69"/>
      <c r="J21" s="71">
        <f t="shared" si="4"/>
        <v>2.155</v>
      </c>
      <c r="K21" s="69"/>
      <c r="L21" s="69"/>
      <c r="M21" s="69"/>
      <c r="N21" s="69"/>
      <c r="O21" s="69"/>
      <c r="P21" s="69"/>
      <c r="Q21" s="69"/>
      <c r="R21" s="69"/>
      <c r="S21" s="69"/>
      <c r="T21" s="69"/>
      <c r="U21" s="69"/>
      <c r="V21" s="73">
        <f t="shared" si="5"/>
        <v>1.0128499999999998</v>
      </c>
      <c r="W21" s="87">
        <f>D21*7*1490000</f>
        <v>85294975.5</v>
      </c>
      <c r="X21" s="69"/>
    </row>
    <row r="22" spans="1:24" s="49" customFormat="1" ht="12.75">
      <c r="A22" s="50">
        <v>2</v>
      </c>
      <c r="B22" s="51" t="s">
        <v>232</v>
      </c>
      <c r="C22" s="52"/>
      <c r="D22" s="55">
        <f>D23</f>
        <v>29.81335</v>
      </c>
      <c r="E22" s="55">
        <f aca="true" t="shared" si="6" ref="E22:V22">E23</f>
        <v>15.41</v>
      </c>
      <c r="F22" s="55">
        <f t="shared" si="6"/>
        <v>10.735</v>
      </c>
      <c r="G22" s="55">
        <f t="shared" si="6"/>
        <v>3.5</v>
      </c>
      <c r="H22" s="55">
        <f t="shared" si="6"/>
        <v>0.2</v>
      </c>
      <c r="I22" s="55">
        <f t="shared" si="6"/>
        <v>0</v>
      </c>
      <c r="J22" s="55">
        <f t="shared" si="6"/>
        <v>6.635000000000001</v>
      </c>
      <c r="K22" s="55">
        <f t="shared" si="6"/>
        <v>0</v>
      </c>
      <c r="L22" s="55">
        <f t="shared" si="6"/>
        <v>0</v>
      </c>
      <c r="M22" s="55">
        <f t="shared" si="6"/>
        <v>0</v>
      </c>
      <c r="N22" s="55">
        <f t="shared" si="6"/>
        <v>0</v>
      </c>
      <c r="O22" s="55">
        <f t="shared" si="6"/>
        <v>0</v>
      </c>
      <c r="P22" s="55">
        <f t="shared" si="6"/>
        <v>0</v>
      </c>
      <c r="Q22" s="55">
        <f t="shared" si="6"/>
        <v>0</v>
      </c>
      <c r="R22" s="55">
        <f t="shared" si="6"/>
        <v>0</v>
      </c>
      <c r="S22" s="55">
        <f t="shared" si="6"/>
        <v>0</v>
      </c>
      <c r="T22" s="55">
        <f t="shared" si="6"/>
        <v>0</v>
      </c>
      <c r="U22" s="55">
        <f t="shared" si="6"/>
        <v>0.4</v>
      </c>
      <c r="V22" s="55">
        <f t="shared" si="6"/>
        <v>3.66835</v>
      </c>
      <c r="W22" s="55">
        <f>W23</f>
        <v>523951273.5</v>
      </c>
      <c r="X22" s="93"/>
    </row>
    <row r="23" spans="1:54" s="49" customFormat="1" ht="25.5">
      <c r="A23" s="89" t="s">
        <v>88</v>
      </c>
      <c r="B23" s="90" t="s">
        <v>235</v>
      </c>
      <c r="C23" s="55">
        <v>6</v>
      </c>
      <c r="D23" s="134">
        <f>SUM(D24:D29)</f>
        <v>29.81335</v>
      </c>
      <c r="E23" s="134">
        <f>SUM(E24:E29)</f>
        <v>15.41</v>
      </c>
      <c r="F23" s="134">
        <f>SUM(F24:F29)</f>
        <v>10.735</v>
      </c>
      <c r="G23" s="134">
        <f>SUM(G24:G29)</f>
        <v>3.5</v>
      </c>
      <c r="H23" s="134">
        <f>SUM(H24:H29)</f>
        <v>0.2</v>
      </c>
      <c r="I23" s="134">
        <f aca="true" t="shared" si="7" ref="I23:W23">SUM(I24:I29)</f>
        <v>0</v>
      </c>
      <c r="J23" s="134">
        <f>SUM(J24:J29)</f>
        <v>6.635000000000001</v>
      </c>
      <c r="K23" s="134">
        <f t="shared" si="7"/>
        <v>0</v>
      </c>
      <c r="L23" s="134">
        <f t="shared" si="7"/>
        <v>0</v>
      </c>
      <c r="M23" s="134">
        <f t="shared" si="7"/>
        <v>0</v>
      </c>
      <c r="N23" s="134">
        <f t="shared" si="7"/>
        <v>0</v>
      </c>
      <c r="O23" s="134">
        <f t="shared" si="7"/>
        <v>0</v>
      </c>
      <c r="P23" s="134">
        <f t="shared" si="7"/>
        <v>0</v>
      </c>
      <c r="Q23" s="134">
        <f t="shared" si="7"/>
        <v>0</v>
      </c>
      <c r="R23" s="134">
        <f t="shared" si="7"/>
        <v>0</v>
      </c>
      <c r="S23" s="134">
        <f t="shared" si="7"/>
        <v>0</v>
      </c>
      <c r="T23" s="134">
        <f t="shared" si="7"/>
        <v>0</v>
      </c>
      <c r="U23" s="134">
        <f>SUM(U24:U29)</f>
        <v>0.4</v>
      </c>
      <c r="V23" s="134">
        <f>SUM(V24:V29)</f>
        <v>3.66835</v>
      </c>
      <c r="W23" s="85">
        <f t="shared" si="7"/>
        <v>523951273.5</v>
      </c>
      <c r="X23" s="93"/>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row>
    <row r="24" spans="1:54" s="95" customFormat="1" ht="21.75" customHeight="1">
      <c r="A24" s="96">
        <v>1</v>
      </c>
      <c r="B24" s="92" t="s">
        <v>236</v>
      </c>
      <c r="C24" s="93"/>
      <c r="D24" s="97">
        <f aca="true" t="shared" si="8" ref="D24:D29">E24+F24+V24</f>
        <v>5.53245</v>
      </c>
      <c r="E24" s="94">
        <v>2.67</v>
      </c>
      <c r="F24" s="69">
        <f aca="true" t="shared" si="9" ref="F24:F29">SUM(G24:U24)</f>
        <v>2.2350000000000003</v>
      </c>
      <c r="G24" s="70">
        <v>0.7</v>
      </c>
      <c r="H24" s="73"/>
      <c r="I24" s="93"/>
      <c r="J24" s="71">
        <f>(E24+H24)*50%</f>
        <v>1.335</v>
      </c>
      <c r="K24" s="93"/>
      <c r="L24" s="93"/>
      <c r="M24" s="93"/>
      <c r="N24" s="93"/>
      <c r="O24" s="93"/>
      <c r="P24" s="93"/>
      <c r="Q24" s="93"/>
      <c r="R24" s="93"/>
      <c r="S24" s="93"/>
      <c r="T24" s="93"/>
      <c r="U24" s="73">
        <v>0.2</v>
      </c>
      <c r="V24" s="73">
        <f aca="true" t="shared" si="10" ref="V24:V29">(E24+H24)*23.5%</f>
        <v>0.62745</v>
      </c>
      <c r="W24" s="87">
        <f>(D24*8*1490000)+(4.96*4*1490000)</f>
        <v>95508404</v>
      </c>
      <c r="X24" s="93"/>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row>
    <row r="25" spans="1:54" s="95" customFormat="1" ht="21.75" customHeight="1">
      <c r="A25" s="96">
        <v>2</v>
      </c>
      <c r="B25" s="92" t="s">
        <v>237</v>
      </c>
      <c r="C25" s="93"/>
      <c r="D25" s="97">
        <f t="shared" si="8"/>
        <v>5.67945</v>
      </c>
      <c r="E25" s="94">
        <v>2.67</v>
      </c>
      <c r="F25" s="69">
        <f t="shared" si="9"/>
        <v>2.335</v>
      </c>
      <c r="G25" s="70">
        <v>0.7</v>
      </c>
      <c r="H25" s="73">
        <v>0.2</v>
      </c>
      <c r="I25" s="93"/>
      <c r="J25" s="71">
        <f>(E25+H25)*50%</f>
        <v>1.435</v>
      </c>
      <c r="K25" s="93"/>
      <c r="L25" s="93"/>
      <c r="M25" s="93"/>
      <c r="N25" s="93"/>
      <c r="O25" s="93"/>
      <c r="P25" s="93"/>
      <c r="Q25" s="93"/>
      <c r="R25" s="93"/>
      <c r="S25" s="93"/>
      <c r="T25" s="93"/>
      <c r="U25" s="73"/>
      <c r="V25" s="73">
        <f t="shared" si="10"/>
        <v>0.67445</v>
      </c>
      <c r="W25" s="87">
        <f>(D25*7*1490000)+(4.76*4*1490000)+(5.532*1490000*1)</f>
        <v>95848943.5</v>
      </c>
      <c r="X25" s="93"/>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row>
    <row r="26" spans="1:54" s="95" customFormat="1" ht="21.75" customHeight="1">
      <c r="A26" s="96">
        <v>3</v>
      </c>
      <c r="B26" s="92" t="s">
        <v>238</v>
      </c>
      <c r="C26" s="93"/>
      <c r="D26" s="97">
        <f t="shared" si="8"/>
        <v>4.7599</v>
      </c>
      <c r="E26" s="94">
        <v>2.34</v>
      </c>
      <c r="F26" s="69">
        <f t="shared" si="9"/>
        <v>1.8699999999999999</v>
      </c>
      <c r="G26" s="70">
        <v>0.7</v>
      </c>
      <c r="H26" s="73"/>
      <c r="I26" s="93"/>
      <c r="J26" s="71">
        <f>(E26+H26)*50%</f>
        <v>1.17</v>
      </c>
      <c r="K26" s="93"/>
      <c r="L26" s="93"/>
      <c r="M26" s="93"/>
      <c r="N26" s="93"/>
      <c r="O26" s="93"/>
      <c r="P26" s="93"/>
      <c r="Q26" s="93"/>
      <c r="R26" s="93"/>
      <c r="S26" s="93"/>
      <c r="T26" s="93"/>
      <c r="U26" s="73"/>
      <c r="V26" s="73">
        <f>(E26+H26)*23.5%</f>
        <v>0.5498999999999999</v>
      </c>
      <c r="W26" s="87">
        <f>D26*12*1490000</f>
        <v>85107012</v>
      </c>
      <c r="X26" s="93"/>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row>
    <row r="27" spans="1:54" s="95" customFormat="1" ht="21.75" customHeight="1">
      <c r="A27" s="96">
        <v>4</v>
      </c>
      <c r="B27" s="92" t="s">
        <v>86</v>
      </c>
      <c r="C27" s="93"/>
      <c r="D27" s="97">
        <f t="shared" si="8"/>
        <v>6.47755</v>
      </c>
      <c r="E27" s="94">
        <v>3.33</v>
      </c>
      <c r="F27" s="69">
        <f t="shared" si="9"/>
        <v>2.365</v>
      </c>
      <c r="G27" s="70">
        <v>0.7</v>
      </c>
      <c r="H27" s="73"/>
      <c r="I27" s="93"/>
      <c r="J27" s="71">
        <f>(E27+H27)*50%</f>
        <v>1.665</v>
      </c>
      <c r="K27" s="93"/>
      <c r="L27" s="93"/>
      <c r="M27" s="93"/>
      <c r="N27" s="93"/>
      <c r="O27" s="93"/>
      <c r="P27" s="93"/>
      <c r="Q27" s="93"/>
      <c r="R27" s="93"/>
      <c r="S27" s="93"/>
      <c r="T27" s="93"/>
      <c r="U27" s="73"/>
      <c r="V27" s="73">
        <f>(E27+H27)*23.5%</f>
        <v>0.78255</v>
      </c>
      <c r="W27" s="87">
        <f>D27*12*1490000</f>
        <v>115818594</v>
      </c>
      <c r="X27" s="93"/>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row>
    <row r="28" spans="1:54" s="95" customFormat="1" ht="21.75" customHeight="1">
      <c r="A28" s="96">
        <v>5</v>
      </c>
      <c r="B28" s="92" t="s">
        <v>239</v>
      </c>
      <c r="C28" s="93"/>
      <c r="D28" s="97">
        <f t="shared" si="8"/>
        <v>4.4741</v>
      </c>
      <c r="E28" s="94">
        <v>2.06</v>
      </c>
      <c r="F28" s="69">
        <f t="shared" si="9"/>
        <v>1.93</v>
      </c>
      <c r="G28" s="70">
        <v>0.7</v>
      </c>
      <c r="H28" s="73"/>
      <c r="I28" s="93"/>
      <c r="J28" s="71">
        <f>(E28+H28)*50%</f>
        <v>1.03</v>
      </c>
      <c r="K28" s="93"/>
      <c r="L28" s="93"/>
      <c r="M28" s="93"/>
      <c r="N28" s="93"/>
      <c r="O28" s="93"/>
      <c r="P28" s="93"/>
      <c r="Q28" s="93"/>
      <c r="R28" s="93"/>
      <c r="S28" s="93"/>
      <c r="T28" s="93"/>
      <c r="U28" s="73">
        <v>0.2</v>
      </c>
      <c r="V28" s="73">
        <f>(E28+H28)*23.5%</f>
        <v>0.4841</v>
      </c>
      <c r="W28" s="87">
        <f>D28*12*1490000</f>
        <v>79996908</v>
      </c>
      <c r="X28" s="93"/>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row>
    <row r="29" spans="1:25" s="106" customFormat="1" ht="21.75" customHeight="1">
      <c r="A29" s="119">
        <v>6</v>
      </c>
      <c r="B29" s="120" t="s">
        <v>267</v>
      </c>
      <c r="C29" s="121"/>
      <c r="D29" s="97">
        <f t="shared" si="8"/>
        <v>2.8899</v>
      </c>
      <c r="E29" s="122">
        <v>2.34</v>
      </c>
      <c r="F29" s="69">
        <f t="shared" si="9"/>
        <v>0</v>
      </c>
      <c r="G29" s="123"/>
      <c r="H29" s="124"/>
      <c r="I29" s="121"/>
      <c r="J29" s="71"/>
      <c r="K29" s="121"/>
      <c r="L29" s="121"/>
      <c r="M29" s="121"/>
      <c r="N29" s="121"/>
      <c r="O29" s="121"/>
      <c r="P29" s="121"/>
      <c r="Q29" s="121"/>
      <c r="R29" s="121"/>
      <c r="S29" s="121"/>
      <c r="T29" s="121"/>
      <c r="U29" s="124"/>
      <c r="V29" s="124">
        <f t="shared" si="10"/>
        <v>0.5498999999999999</v>
      </c>
      <c r="W29" s="87">
        <f>D29*12*1490000</f>
        <v>51671411.99999999</v>
      </c>
      <c r="X29" s="121"/>
      <c r="Y29" s="106">
        <f>W20+W29</f>
        <v>73201167</v>
      </c>
    </row>
    <row r="30" spans="1:24" s="49" customFormat="1" ht="12.75">
      <c r="A30" s="50">
        <v>3</v>
      </c>
      <c r="B30" s="51" t="s">
        <v>10</v>
      </c>
      <c r="C30" s="55">
        <v>6</v>
      </c>
      <c r="D30" s="55">
        <f>SUM(D31:D37)</f>
        <v>32.5944</v>
      </c>
      <c r="E30" s="55">
        <f>SUM(E31:E37)</f>
        <v>17.04</v>
      </c>
      <c r="F30" s="55">
        <f aca="true" t="shared" si="11" ref="F30:V30">SUM(F31:F37)</f>
        <v>11.549999999999999</v>
      </c>
      <c r="G30" s="55">
        <f t="shared" si="11"/>
        <v>4.2</v>
      </c>
      <c r="H30" s="55">
        <f t="shared" si="11"/>
        <v>0</v>
      </c>
      <c r="I30" s="55">
        <f t="shared" si="11"/>
        <v>0</v>
      </c>
      <c r="J30" s="55">
        <f t="shared" si="11"/>
        <v>7.35</v>
      </c>
      <c r="K30" s="55">
        <f t="shared" si="11"/>
        <v>0</v>
      </c>
      <c r="L30" s="55">
        <f t="shared" si="11"/>
        <v>0</v>
      </c>
      <c r="M30" s="55">
        <f t="shared" si="11"/>
        <v>0</v>
      </c>
      <c r="N30" s="55">
        <f t="shared" si="11"/>
        <v>0</v>
      </c>
      <c r="O30" s="55">
        <f t="shared" si="11"/>
        <v>0</v>
      </c>
      <c r="P30" s="55">
        <f t="shared" si="11"/>
        <v>0</v>
      </c>
      <c r="Q30" s="55">
        <f t="shared" si="11"/>
        <v>0</v>
      </c>
      <c r="R30" s="55">
        <f t="shared" si="11"/>
        <v>0</v>
      </c>
      <c r="S30" s="55">
        <f t="shared" si="11"/>
        <v>0</v>
      </c>
      <c r="T30" s="55">
        <f t="shared" si="11"/>
        <v>0</v>
      </c>
      <c r="U30" s="55">
        <f t="shared" si="11"/>
        <v>0</v>
      </c>
      <c r="V30" s="55">
        <f t="shared" si="11"/>
        <v>4.0043999999999995</v>
      </c>
      <c r="W30" s="107">
        <f>SUM(W31:W37)</f>
        <v>494268462</v>
      </c>
      <c r="X30" s="55"/>
    </row>
    <row r="31" spans="1:24" s="125" customFormat="1" ht="18.75" customHeight="1">
      <c r="A31" s="135">
        <v>1</v>
      </c>
      <c r="B31" s="136" t="s">
        <v>240</v>
      </c>
      <c r="C31" s="124"/>
      <c r="D31" s="100">
        <f>E31+F31+V31</f>
        <v>4.7599</v>
      </c>
      <c r="E31" s="100">
        <v>2.34</v>
      </c>
      <c r="F31" s="100">
        <f aca="true" t="shared" si="12" ref="F31:F37">SUM(G31:U31)</f>
        <v>1.8699999999999999</v>
      </c>
      <c r="G31" s="124">
        <v>0.7</v>
      </c>
      <c r="H31" s="124"/>
      <c r="I31" s="124"/>
      <c r="J31" s="100">
        <f aca="true" t="shared" si="13" ref="J31:J36">E31*50%</f>
        <v>1.17</v>
      </c>
      <c r="K31" s="124"/>
      <c r="L31" s="124"/>
      <c r="M31" s="124"/>
      <c r="N31" s="124"/>
      <c r="O31" s="124"/>
      <c r="P31" s="124"/>
      <c r="Q31" s="124"/>
      <c r="R31" s="124"/>
      <c r="S31" s="124"/>
      <c r="T31" s="124"/>
      <c r="U31" s="124"/>
      <c r="V31" s="100">
        <f aca="true" t="shared" si="14" ref="V31:V36">E31*23.5%</f>
        <v>0.5498999999999999</v>
      </c>
      <c r="W31" s="124">
        <f>D31*4*1490000</f>
        <v>28369004</v>
      </c>
      <c r="X31" s="124"/>
    </row>
    <row r="32" spans="1:29" s="46" customFormat="1" ht="18.75" customHeight="1">
      <c r="A32" s="98"/>
      <c r="B32" s="99" t="s">
        <v>240</v>
      </c>
      <c r="C32" s="73"/>
      <c r="D32" s="100">
        <f aca="true" t="shared" si="15" ref="D32:D37">E32+F32+V32</f>
        <v>5.33245</v>
      </c>
      <c r="E32" s="100">
        <v>2.67</v>
      </c>
      <c r="F32" s="100">
        <f t="shared" si="12"/>
        <v>2.035</v>
      </c>
      <c r="G32" s="100">
        <v>0.7</v>
      </c>
      <c r="H32" s="100"/>
      <c r="I32" s="100"/>
      <c r="J32" s="100">
        <f t="shared" si="13"/>
        <v>1.335</v>
      </c>
      <c r="K32" s="100"/>
      <c r="L32" s="100"/>
      <c r="M32" s="100"/>
      <c r="N32" s="100"/>
      <c r="O32" s="100"/>
      <c r="P32" s="100"/>
      <c r="Q32" s="100"/>
      <c r="R32" s="100"/>
      <c r="S32" s="100"/>
      <c r="T32" s="100"/>
      <c r="U32" s="100"/>
      <c r="V32" s="100">
        <f t="shared" si="14"/>
        <v>0.62745</v>
      </c>
      <c r="W32" s="101">
        <f>D32*8*1490000</f>
        <v>63562804</v>
      </c>
      <c r="X32" s="100"/>
      <c r="Y32" s="825"/>
      <c r="Z32" s="826"/>
      <c r="AA32" s="826"/>
      <c r="AB32" s="826"/>
      <c r="AC32" s="826"/>
    </row>
    <row r="33" spans="1:24" s="46" customFormat="1" ht="18.75" customHeight="1">
      <c r="A33" s="135">
        <v>3</v>
      </c>
      <c r="B33" s="99" t="s">
        <v>158</v>
      </c>
      <c r="C33" s="102"/>
      <c r="D33" s="100">
        <f t="shared" si="15"/>
        <v>5.33245</v>
      </c>
      <c r="E33" s="100">
        <v>2.67</v>
      </c>
      <c r="F33" s="100">
        <f t="shared" si="12"/>
        <v>2.035</v>
      </c>
      <c r="G33" s="100">
        <v>0.7</v>
      </c>
      <c r="H33" s="103"/>
      <c r="I33" s="103"/>
      <c r="J33" s="100">
        <f t="shared" si="13"/>
        <v>1.335</v>
      </c>
      <c r="K33" s="103"/>
      <c r="L33" s="103"/>
      <c r="M33" s="103"/>
      <c r="N33" s="103"/>
      <c r="O33" s="103"/>
      <c r="P33" s="103"/>
      <c r="Q33" s="103"/>
      <c r="R33" s="103"/>
      <c r="S33" s="103"/>
      <c r="T33" s="103"/>
      <c r="U33" s="103"/>
      <c r="V33" s="100">
        <f t="shared" si="14"/>
        <v>0.62745</v>
      </c>
      <c r="W33" s="101">
        <f>D33*12*1490000</f>
        <v>95344206</v>
      </c>
      <c r="X33" s="104"/>
    </row>
    <row r="34" spans="1:24" s="46" customFormat="1" ht="18.75" customHeight="1">
      <c r="A34" s="98">
        <v>4</v>
      </c>
      <c r="B34" s="99" t="s">
        <v>157</v>
      </c>
      <c r="C34" s="73"/>
      <c r="D34" s="100">
        <f t="shared" si="15"/>
        <v>4.7599</v>
      </c>
      <c r="E34" s="100">
        <v>2.34</v>
      </c>
      <c r="F34" s="100">
        <f t="shared" si="12"/>
        <v>1.8699999999999999</v>
      </c>
      <c r="G34" s="100">
        <v>0.7</v>
      </c>
      <c r="H34" s="73"/>
      <c r="I34" s="73"/>
      <c r="J34" s="100">
        <f t="shared" si="13"/>
        <v>1.17</v>
      </c>
      <c r="K34" s="73"/>
      <c r="L34" s="73"/>
      <c r="M34" s="73"/>
      <c r="N34" s="73"/>
      <c r="O34" s="73"/>
      <c r="P34" s="73"/>
      <c r="Q34" s="73"/>
      <c r="R34" s="73"/>
      <c r="S34" s="73"/>
      <c r="T34" s="73"/>
      <c r="U34" s="73"/>
      <c r="V34" s="100">
        <f t="shared" si="14"/>
        <v>0.5498999999999999</v>
      </c>
      <c r="W34" s="101">
        <f>D34*12*1490000</f>
        <v>85107012</v>
      </c>
      <c r="X34" s="104"/>
    </row>
    <row r="35" spans="1:24" s="46" customFormat="1" ht="18.75" customHeight="1">
      <c r="A35" s="135">
        <v>5</v>
      </c>
      <c r="B35" s="99" t="s">
        <v>156</v>
      </c>
      <c r="C35" s="73"/>
      <c r="D35" s="100">
        <f t="shared" si="15"/>
        <v>4.7599</v>
      </c>
      <c r="E35" s="100">
        <v>2.34</v>
      </c>
      <c r="F35" s="100">
        <f t="shared" si="12"/>
        <v>1.8699999999999999</v>
      </c>
      <c r="G35" s="100">
        <v>0.7</v>
      </c>
      <c r="H35" s="73"/>
      <c r="I35" s="73"/>
      <c r="J35" s="100">
        <f t="shared" si="13"/>
        <v>1.17</v>
      </c>
      <c r="K35" s="73"/>
      <c r="L35" s="73"/>
      <c r="M35" s="73"/>
      <c r="N35" s="73"/>
      <c r="O35" s="73"/>
      <c r="P35" s="73"/>
      <c r="Q35" s="73"/>
      <c r="R35" s="73"/>
      <c r="S35" s="73"/>
      <c r="T35" s="73"/>
      <c r="U35" s="73"/>
      <c r="V35" s="100">
        <f t="shared" si="14"/>
        <v>0.5498999999999999</v>
      </c>
      <c r="W35" s="101">
        <f>D35*12*1490000</f>
        <v>85107012</v>
      </c>
      <c r="X35" s="104"/>
    </row>
    <row r="36" spans="1:24" s="46" customFormat="1" ht="18.75" customHeight="1">
      <c r="A36" s="98">
        <v>6</v>
      </c>
      <c r="B36" s="105" t="s">
        <v>241</v>
      </c>
      <c r="C36" s="73"/>
      <c r="D36" s="100">
        <f t="shared" si="15"/>
        <v>4.7599</v>
      </c>
      <c r="E36" s="100">
        <v>2.34</v>
      </c>
      <c r="F36" s="100">
        <f t="shared" si="12"/>
        <v>1.8699999999999999</v>
      </c>
      <c r="G36" s="100">
        <v>0.7</v>
      </c>
      <c r="H36" s="73"/>
      <c r="I36" s="73"/>
      <c r="J36" s="100">
        <f t="shared" si="13"/>
        <v>1.17</v>
      </c>
      <c r="K36" s="73"/>
      <c r="L36" s="73"/>
      <c r="M36" s="73"/>
      <c r="N36" s="73"/>
      <c r="O36" s="73"/>
      <c r="P36" s="73"/>
      <c r="Q36" s="73"/>
      <c r="R36" s="73"/>
      <c r="S36" s="73"/>
      <c r="T36" s="73"/>
      <c r="U36" s="73"/>
      <c r="V36" s="100">
        <f t="shared" si="14"/>
        <v>0.5498999999999999</v>
      </c>
      <c r="W36" s="101">
        <f>D36*12*1490000</f>
        <v>85107012</v>
      </c>
      <c r="X36" s="104"/>
    </row>
    <row r="37" spans="1:24" s="46" customFormat="1" ht="18.75" customHeight="1">
      <c r="A37" s="135">
        <v>7</v>
      </c>
      <c r="B37" s="105" t="s">
        <v>242</v>
      </c>
      <c r="C37" s="73"/>
      <c r="D37" s="100">
        <f t="shared" si="15"/>
        <v>2.8899</v>
      </c>
      <c r="E37" s="73">
        <v>2.34</v>
      </c>
      <c r="F37" s="100">
        <f t="shared" si="12"/>
        <v>0</v>
      </c>
      <c r="G37" s="73"/>
      <c r="H37" s="73"/>
      <c r="I37" s="73"/>
      <c r="J37" s="73"/>
      <c r="K37" s="73"/>
      <c r="L37" s="73"/>
      <c r="M37" s="73"/>
      <c r="N37" s="73"/>
      <c r="O37" s="73"/>
      <c r="P37" s="73"/>
      <c r="Q37" s="73"/>
      <c r="R37" s="73"/>
      <c r="S37" s="73"/>
      <c r="T37" s="73"/>
      <c r="U37" s="73"/>
      <c r="V37" s="100">
        <f>E37*23.5%</f>
        <v>0.5498999999999999</v>
      </c>
      <c r="W37" s="101">
        <f>D37*12*1490000</f>
        <v>51671411.99999999</v>
      </c>
      <c r="X37" s="104"/>
    </row>
    <row r="38" spans="1:24" s="49" customFormat="1" ht="30" customHeight="1">
      <c r="A38" s="50">
        <v>4</v>
      </c>
      <c r="B38" s="112" t="s">
        <v>152</v>
      </c>
      <c r="C38" s="52"/>
      <c r="D38" s="52">
        <f aca="true" t="shared" si="16" ref="D38:W38">D39+D55+D63+D70+D77+D86+D82</f>
        <v>303.786</v>
      </c>
      <c r="E38" s="52">
        <f t="shared" si="16"/>
        <v>138.46</v>
      </c>
      <c r="F38" s="52">
        <f t="shared" si="16"/>
        <v>132.485</v>
      </c>
      <c r="G38" s="52">
        <f t="shared" si="16"/>
        <v>23.799999999999997</v>
      </c>
      <c r="H38" s="52">
        <f t="shared" si="16"/>
        <v>7.500000000000001</v>
      </c>
      <c r="I38" s="52">
        <f t="shared" si="16"/>
        <v>0</v>
      </c>
      <c r="J38" s="52">
        <f t="shared" si="16"/>
        <v>65.96</v>
      </c>
      <c r="K38" s="52">
        <f t="shared" si="16"/>
        <v>0</v>
      </c>
      <c r="L38" s="52">
        <f t="shared" si="16"/>
        <v>0</v>
      </c>
      <c r="M38" s="52">
        <f t="shared" si="16"/>
        <v>0</v>
      </c>
      <c r="N38" s="52">
        <f t="shared" si="16"/>
        <v>32.98</v>
      </c>
      <c r="O38" s="52">
        <f t="shared" si="16"/>
        <v>0</v>
      </c>
      <c r="P38" s="52">
        <f t="shared" si="16"/>
        <v>0</v>
      </c>
      <c r="Q38" s="52">
        <f t="shared" si="16"/>
        <v>0.6</v>
      </c>
      <c r="R38" s="52">
        <f t="shared" si="16"/>
        <v>0</v>
      </c>
      <c r="S38" s="52">
        <f t="shared" si="16"/>
        <v>0</v>
      </c>
      <c r="T38" s="52">
        <f t="shared" si="16"/>
        <v>0.4850000000000001</v>
      </c>
      <c r="U38" s="52">
        <f t="shared" si="16"/>
        <v>1.16</v>
      </c>
      <c r="V38" s="52">
        <f t="shared" si="16"/>
        <v>32.841</v>
      </c>
      <c r="W38" s="52">
        <f t="shared" si="16"/>
        <v>4747180030</v>
      </c>
      <c r="X38" s="52"/>
    </row>
    <row r="39" spans="1:24" s="60" customFormat="1" ht="12.75">
      <c r="A39" s="53" t="s">
        <v>243</v>
      </c>
      <c r="B39" s="54" t="s">
        <v>150</v>
      </c>
      <c r="C39" s="55"/>
      <c r="D39" s="55">
        <f>D40</f>
        <v>82.86</v>
      </c>
      <c r="E39" s="55">
        <f aca="true" t="shared" si="17" ref="E39:V39">E40</f>
        <v>34.400000000000006</v>
      </c>
      <c r="F39" s="55">
        <f t="shared" si="17"/>
        <v>39.82</v>
      </c>
      <c r="G39" s="55">
        <f t="shared" si="17"/>
        <v>6.300000000000001</v>
      </c>
      <c r="H39" s="55">
        <f t="shared" si="17"/>
        <v>4.000000000000001</v>
      </c>
      <c r="I39" s="55">
        <f t="shared" si="17"/>
        <v>0</v>
      </c>
      <c r="J39" s="55">
        <f t="shared" si="17"/>
        <v>19.2</v>
      </c>
      <c r="K39" s="55">
        <f t="shared" si="17"/>
        <v>0</v>
      </c>
      <c r="L39" s="55">
        <f t="shared" si="17"/>
        <v>0</v>
      </c>
      <c r="M39" s="55">
        <f t="shared" si="17"/>
        <v>0</v>
      </c>
      <c r="N39" s="55">
        <f t="shared" si="17"/>
        <v>9.6</v>
      </c>
      <c r="O39" s="55">
        <f t="shared" si="17"/>
        <v>0</v>
      </c>
      <c r="P39" s="55">
        <f t="shared" si="17"/>
        <v>0</v>
      </c>
      <c r="Q39" s="55">
        <f t="shared" si="17"/>
        <v>0</v>
      </c>
      <c r="R39" s="55">
        <f t="shared" si="17"/>
        <v>0</v>
      </c>
      <c r="S39" s="55">
        <f t="shared" si="17"/>
        <v>0</v>
      </c>
      <c r="T39" s="55">
        <f t="shared" si="17"/>
        <v>0</v>
      </c>
      <c r="U39" s="55">
        <f t="shared" si="17"/>
        <v>0.72</v>
      </c>
      <c r="V39" s="55">
        <f t="shared" si="17"/>
        <v>8.64</v>
      </c>
      <c r="W39" s="85">
        <f>W40+W50</f>
        <v>1325507152.5</v>
      </c>
      <c r="X39" s="55"/>
    </row>
    <row r="40" spans="1:25" s="60" customFormat="1" ht="12.75">
      <c r="A40" s="53"/>
      <c r="B40" s="54" t="s">
        <v>75</v>
      </c>
      <c r="C40" s="55">
        <v>6</v>
      </c>
      <c r="D40" s="126">
        <f aca="true" t="shared" si="18" ref="D40:V40">SUM(D41:D49)</f>
        <v>82.86</v>
      </c>
      <c r="E40" s="126">
        <f>SUM(E41:E49)</f>
        <v>34.400000000000006</v>
      </c>
      <c r="F40" s="126">
        <f t="shared" si="18"/>
        <v>39.82</v>
      </c>
      <c r="G40" s="126">
        <f t="shared" si="18"/>
        <v>6.300000000000001</v>
      </c>
      <c r="H40" s="126">
        <f t="shared" si="18"/>
        <v>4.000000000000001</v>
      </c>
      <c r="I40" s="126">
        <f t="shared" si="18"/>
        <v>0</v>
      </c>
      <c r="J40" s="126">
        <f t="shared" si="18"/>
        <v>19.2</v>
      </c>
      <c r="K40" s="126">
        <f t="shared" si="18"/>
        <v>0</v>
      </c>
      <c r="L40" s="126">
        <f t="shared" si="18"/>
        <v>0</v>
      </c>
      <c r="M40" s="126">
        <f t="shared" si="18"/>
        <v>0</v>
      </c>
      <c r="N40" s="126">
        <f t="shared" si="18"/>
        <v>9.6</v>
      </c>
      <c r="O40" s="126">
        <f t="shared" si="18"/>
        <v>0</v>
      </c>
      <c r="P40" s="126">
        <f t="shared" si="18"/>
        <v>0</v>
      </c>
      <c r="Q40" s="126">
        <f t="shared" si="18"/>
        <v>0</v>
      </c>
      <c r="R40" s="126">
        <f t="shared" si="18"/>
        <v>0</v>
      </c>
      <c r="S40" s="126">
        <f t="shared" si="18"/>
        <v>0</v>
      </c>
      <c r="T40" s="126">
        <f t="shared" si="18"/>
        <v>0</v>
      </c>
      <c r="U40" s="126">
        <f t="shared" si="18"/>
        <v>0.72</v>
      </c>
      <c r="V40" s="126">
        <f t="shared" si="18"/>
        <v>8.64</v>
      </c>
      <c r="W40" s="126">
        <f>SUM(W41:W49)</f>
        <v>1043927152.5</v>
      </c>
      <c r="X40" s="55">
        <f>SUM(X41:X48)</f>
        <v>0</v>
      </c>
      <c r="Y40" s="127">
        <f>W40-'[1]sheet2'!$Y$266</f>
        <v>-70537847.5</v>
      </c>
    </row>
    <row r="41" spans="1:24" s="61" customFormat="1" ht="12.75">
      <c r="A41" s="58">
        <v>1</v>
      </c>
      <c r="B41" s="59" t="s">
        <v>43</v>
      </c>
      <c r="C41" s="56"/>
      <c r="D41" s="56">
        <f aca="true" t="shared" si="19" ref="D41:D49">E41+F41+V41</f>
        <v>12.1155</v>
      </c>
      <c r="E41" s="137">
        <v>5.08</v>
      </c>
      <c r="F41" s="56">
        <f aca="true" t="shared" si="20" ref="F41:F48">SUM(G41:U41)</f>
        <v>5.735</v>
      </c>
      <c r="G41" s="56">
        <v>0.7</v>
      </c>
      <c r="H41" s="56">
        <v>0.7</v>
      </c>
      <c r="I41" s="56"/>
      <c r="J41" s="56">
        <f aca="true" t="shared" si="21" ref="J41:J49">0.5*(E41+H41)</f>
        <v>2.89</v>
      </c>
      <c r="K41" s="56"/>
      <c r="L41" s="56"/>
      <c r="M41" s="56"/>
      <c r="N41" s="56">
        <f aca="true" t="shared" si="22" ref="N41:N49">0.25*(E41+H41)</f>
        <v>1.445</v>
      </c>
      <c r="O41" s="56"/>
      <c r="P41" s="56"/>
      <c r="Q41" s="56"/>
      <c r="R41" s="56"/>
      <c r="S41" s="56"/>
      <c r="T41" s="56"/>
      <c r="U41" s="56"/>
      <c r="V41" s="56">
        <f aca="true" t="shared" si="23" ref="V41:V49">(E41+H41)*22.5%</f>
        <v>1.3005</v>
      </c>
      <c r="W41" s="108">
        <f>D41*1490000*12</f>
        <v>216625140</v>
      </c>
      <c r="X41" s="56" t="s">
        <v>244</v>
      </c>
    </row>
    <row r="42" spans="1:25" s="61" customFormat="1" ht="12.75">
      <c r="A42" s="58">
        <v>2</v>
      </c>
      <c r="B42" s="59" t="s">
        <v>35</v>
      </c>
      <c r="C42" s="56"/>
      <c r="D42" s="56">
        <f t="shared" si="19"/>
        <v>9.1135</v>
      </c>
      <c r="E42" s="56">
        <v>3.66</v>
      </c>
      <c r="F42" s="56">
        <f t="shared" si="20"/>
        <v>4.494999999999999</v>
      </c>
      <c r="G42" s="56">
        <v>0.7</v>
      </c>
      <c r="H42" s="56">
        <v>0.6</v>
      </c>
      <c r="I42" s="56"/>
      <c r="J42" s="56">
        <f t="shared" si="21"/>
        <v>2.13</v>
      </c>
      <c r="K42" s="56"/>
      <c r="L42" s="56"/>
      <c r="M42" s="56"/>
      <c r="N42" s="56">
        <f t="shared" si="22"/>
        <v>1.065</v>
      </c>
      <c r="O42" s="56"/>
      <c r="P42" s="56"/>
      <c r="Q42" s="56"/>
      <c r="R42" s="56"/>
      <c r="S42" s="56"/>
      <c r="T42" s="56"/>
      <c r="U42" s="56"/>
      <c r="V42" s="56">
        <f t="shared" si="23"/>
        <v>0.9585</v>
      </c>
      <c r="W42" s="108">
        <f>D42*1490000*3</f>
        <v>40737345</v>
      </c>
      <c r="X42" s="56" t="s">
        <v>245</v>
      </c>
      <c r="Y42" s="193">
        <f>'Lương đầu năm'!E44-'Chi tiết'!D42</f>
        <v>6.162000000000001</v>
      </c>
    </row>
    <row r="43" spans="1:25" s="61" customFormat="1" ht="12.75">
      <c r="A43" s="58"/>
      <c r="B43" s="59" t="s">
        <v>35</v>
      </c>
      <c r="C43" s="56"/>
      <c r="D43" s="56">
        <f t="shared" si="19"/>
        <v>9.76525</v>
      </c>
      <c r="E43" s="137">
        <v>3.99</v>
      </c>
      <c r="F43" s="56">
        <f t="shared" si="20"/>
        <v>4.7425</v>
      </c>
      <c r="G43" s="56">
        <v>0.7</v>
      </c>
      <c r="H43" s="56">
        <v>0.6</v>
      </c>
      <c r="I43" s="56"/>
      <c r="J43" s="56">
        <f t="shared" si="21"/>
        <v>2.295</v>
      </c>
      <c r="K43" s="56"/>
      <c r="L43" s="56"/>
      <c r="M43" s="56"/>
      <c r="N43" s="56">
        <f t="shared" si="22"/>
        <v>1.1475</v>
      </c>
      <c r="O43" s="56"/>
      <c r="P43" s="56"/>
      <c r="Q43" s="56"/>
      <c r="R43" s="56"/>
      <c r="S43" s="56"/>
      <c r="T43" s="56"/>
      <c r="U43" s="56"/>
      <c r="V43" s="56">
        <f t="shared" si="23"/>
        <v>1.03275</v>
      </c>
      <c r="W43" s="108">
        <f>D43*1490000*9</f>
        <v>130952002.5</v>
      </c>
      <c r="X43" s="56" t="s">
        <v>246</v>
      </c>
      <c r="Y43" s="61">
        <f>Y42/2</f>
        <v>3.0810000000000004</v>
      </c>
    </row>
    <row r="44" spans="1:25" s="61" customFormat="1" ht="12.75">
      <c r="A44" s="58">
        <v>3</v>
      </c>
      <c r="B44" s="59" t="s">
        <v>149</v>
      </c>
      <c r="C44" s="56"/>
      <c r="D44" s="56">
        <f t="shared" si="19"/>
        <v>9.76525</v>
      </c>
      <c r="E44" s="56">
        <v>3.99</v>
      </c>
      <c r="F44" s="56">
        <f t="shared" si="20"/>
        <v>4.7425</v>
      </c>
      <c r="G44" s="56">
        <v>0.7</v>
      </c>
      <c r="H44" s="56">
        <v>0.6</v>
      </c>
      <c r="I44" s="56"/>
      <c r="J44" s="56">
        <f t="shared" si="21"/>
        <v>2.295</v>
      </c>
      <c r="K44" s="56"/>
      <c r="L44" s="56"/>
      <c r="M44" s="56"/>
      <c r="N44" s="56">
        <f t="shared" si="22"/>
        <v>1.1475</v>
      </c>
      <c r="O44" s="56"/>
      <c r="P44" s="56"/>
      <c r="Q44" s="56"/>
      <c r="R44" s="56"/>
      <c r="S44" s="56"/>
      <c r="T44" s="56"/>
      <c r="U44" s="56"/>
      <c r="V44" s="56">
        <f t="shared" si="23"/>
        <v>1.03275</v>
      </c>
      <c r="W44" s="108">
        <f>D44*1490000*12</f>
        <v>174602670</v>
      </c>
      <c r="X44" s="56" t="s">
        <v>244</v>
      </c>
      <c r="Y44" s="61">
        <f>Y43*1490000*12</f>
        <v>55088280.000000015</v>
      </c>
    </row>
    <row r="45" spans="1:24" s="61" customFormat="1" ht="12.75">
      <c r="A45" s="58">
        <v>4</v>
      </c>
      <c r="B45" s="59" t="s">
        <v>34</v>
      </c>
      <c r="C45" s="56"/>
      <c r="D45" s="56">
        <f t="shared" si="19"/>
        <v>10.854500000000002</v>
      </c>
      <c r="E45" s="56">
        <v>4.32</v>
      </c>
      <c r="F45" s="56">
        <f t="shared" si="20"/>
        <v>5.405</v>
      </c>
      <c r="G45" s="56">
        <v>0.7</v>
      </c>
      <c r="H45" s="56">
        <v>0.7</v>
      </c>
      <c r="I45" s="56"/>
      <c r="J45" s="56">
        <f t="shared" si="21"/>
        <v>2.5100000000000002</v>
      </c>
      <c r="K45" s="56"/>
      <c r="L45" s="56"/>
      <c r="M45" s="56"/>
      <c r="N45" s="56">
        <f t="shared" si="22"/>
        <v>1.2550000000000001</v>
      </c>
      <c r="O45" s="56"/>
      <c r="P45" s="56"/>
      <c r="Q45" s="56"/>
      <c r="R45" s="56"/>
      <c r="S45" s="56"/>
      <c r="T45" s="56"/>
      <c r="U45" s="56">
        <v>0.24</v>
      </c>
      <c r="V45" s="56">
        <f t="shared" si="23"/>
        <v>1.1295000000000002</v>
      </c>
      <c r="W45" s="108">
        <f>D45*1490000*12</f>
        <v>194078460.00000003</v>
      </c>
      <c r="X45" s="56" t="s">
        <v>244</v>
      </c>
    </row>
    <row r="46" spans="1:24" s="61" customFormat="1" ht="12.75">
      <c r="A46" s="58">
        <v>5</v>
      </c>
      <c r="B46" s="59" t="s">
        <v>61</v>
      </c>
      <c r="C46" s="56"/>
      <c r="D46" s="56">
        <f t="shared" si="19"/>
        <v>7.319249999999999</v>
      </c>
      <c r="E46" s="56">
        <v>3.03</v>
      </c>
      <c r="F46" s="56">
        <f t="shared" si="20"/>
        <v>3.5625</v>
      </c>
      <c r="G46" s="56">
        <v>0.7</v>
      </c>
      <c r="H46" s="56">
        <v>0.2</v>
      </c>
      <c r="I46" s="56"/>
      <c r="J46" s="56">
        <f t="shared" si="21"/>
        <v>1.615</v>
      </c>
      <c r="K46" s="56"/>
      <c r="L46" s="56"/>
      <c r="M46" s="56"/>
      <c r="N46" s="56">
        <f t="shared" si="22"/>
        <v>0.8075</v>
      </c>
      <c r="O46" s="56"/>
      <c r="P46" s="56"/>
      <c r="Q46" s="56"/>
      <c r="R46" s="56"/>
      <c r="S46" s="56"/>
      <c r="T46" s="56"/>
      <c r="U46" s="56">
        <v>0.24</v>
      </c>
      <c r="V46" s="56">
        <f t="shared" si="23"/>
        <v>0.72675</v>
      </c>
      <c r="W46" s="108">
        <f>D46*1490000*3</f>
        <v>32717047.499999993</v>
      </c>
      <c r="X46" s="56" t="s">
        <v>245</v>
      </c>
    </row>
    <row r="47" spans="1:24" s="61" customFormat="1" ht="12.75">
      <c r="A47" s="58"/>
      <c r="B47" s="59" t="s">
        <v>61</v>
      </c>
      <c r="C47" s="56"/>
      <c r="D47" s="56">
        <f t="shared" si="19"/>
        <v>7.9315</v>
      </c>
      <c r="E47" s="137">
        <v>3.34</v>
      </c>
      <c r="F47" s="56">
        <f t="shared" si="20"/>
        <v>3.795</v>
      </c>
      <c r="G47" s="56">
        <v>0.7</v>
      </c>
      <c r="H47" s="56">
        <v>0.2</v>
      </c>
      <c r="I47" s="56"/>
      <c r="J47" s="56">
        <f t="shared" si="21"/>
        <v>1.77</v>
      </c>
      <c r="K47" s="56"/>
      <c r="L47" s="56"/>
      <c r="M47" s="56"/>
      <c r="N47" s="56">
        <f t="shared" si="22"/>
        <v>0.885</v>
      </c>
      <c r="O47" s="56"/>
      <c r="P47" s="56"/>
      <c r="Q47" s="56"/>
      <c r="R47" s="56"/>
      <c r="S47" s="56"/>
      <c r="T47" s="56"/>
      <c r="U47" s="56">
        <v>0.24</v>
      </c>
      <c r="V47" s="56">
        <f t="shared" si="23"/>
        <v>0.7965</v>
      </c>
      <c r="W47" s="108">
        <f>D47*1490000*9</f>
        <v>106361415</v>
      </c>
      <c r="X47" s="56" t="s">
        <v>246</v>
      </c>
    </row>
    <row r="48" spans="1:24" s="61" customFormat="1" ht="12.75">
      <c r="A48" s="58">
        <v>6</v>
      </c>
      <c r="B48" s="59" t="s">
        <v>56</v>
      </c>
      <c r="C48" s="56"/>
      <c r="D48" s="56">
        <f t="shared" si="19"/>
        <v>7.67175</v>
      </c>
      <c r="E48" s="56">
        <v>3.33</v>
      </c>
      <c r="F48" s="56">
        <f t="shared" si="20"/>
        <v>3.5475000000000003</v>
      </c>
      <c r="G48" s="56">
        <v>0.7</v>
      </c>
      <c r="H48" s="56">
        <v>0.2</v>
      </c>
      <c r="I48" s="56"/>
      <c r="J48" s="56">
        <f t="shared" si="21"/>
        <v>1.7650000000000001</v>
      </c>
      <c r="K48" s="56"/>
      <c r="L48" s="56"/>
      <c r="M48" s="56"/>
      <c r="N48" s="56">
        <f t="shared" si="22"/>
        <v>0.8825000000000001</v>
      </c>
      <c r="O48" s="56"/>
      <c r="P48" s="56"/>
      <c r="Q48" s="56"/>
      <c r="R48" s="56"/>
      <c r="S48" s="56"/>
      <c r="T48" s="56"/>
      <c r="U48" s="56"/>
      <c r="V48" s="56">
        <f t="shared" si="23"/>
        <v>0.7942500000000001</v>
      </c>
      <c r="W48" s="108">
        <f>D48*1490000*1</f>
        <v>11430907.5</v>
      </c>
      <c r="X48" s="56" t="s">
        <v>247</v>
      </c>
    </row>
    <row r="49" spans="1:24" s="61" customFormat="1" ht="12.75">
      <c r="A49" s="58"/>
      <c r="B49" s="59" t="s">
        <v>56</v>
      </c>
      <c r="C49" s="56"/>
      <c r="D49" s="56">
        <f t="shared" si="19"/>
        <v>8.3235</v>
      </c>
      <c r="E49" s="137">
        <v>3.66</v>
      </c>
      <c r="F49" s="56">
        <f>SUM(G49:U49)</f>
        <v>3.795</v>
      </c>
      <c r="G49" s="56">
        <v>0.7</v>
      </c>
      <c r="H49" s="56">
        <v>0.2</v>
      </c>
      <c r="I49" s="56"/>
      <c r="J49" s="56">
        <f t="shared" si="21"/>
        <v>1.9300000000000002</v>
      </c>
      <c r="K49" s="56"/>
      <c r="L49" s="56"/>
      <c r="M49" s="56"/>
      <c r="N49" s="56">
        <f t="shared" si="22"/>
        <v>0.9650000000000001</v>
      </c>
      <c r="O49" s="56"/>
      <c r="P49" s="56"/>
      <c r="Q49" s="56"/>
      <c r="R49" s="56"/>
      <c r="S49" s="56"/>
      <c r="T49" s="56"/>
      <c r="U49" s="56"/>
      <c r="V49" s="56">
        <f t="shared" si="23"/>
        <v>0.8685</v>
      </c>
      <c r="W49" s="108">
        <f>D49*1490000*11</f>
        <v>136422164.99999997</v>
      </c>
      <c r="X49" s="56" t="s">
        <v>248</v>
      </c>
    </row>
    <row r="50" spans="1:24" s="61" customFormat="1" ht="12.75">
      <c r="A50" s="58"/>
      <c r="B50" s="128" t="s">
        <v>271</v>
      </c>
      <c r="C50" s="56"/>
      <c r="D50" s="56"/>
      <c r="E50" s="56"/>
      <c r="F50" s="56"/>
      <c r="G50" s="56"/>
      <c r="H50" s="56"/>
      <c r="I50" s="56"/>
      <c r="J50" s="56"/>
      <c r="K50" s="56"/>
      <c r="L50" s="56"/>
      <c r="M50" s="56"/>
      <c r="N50" s="56"/>
      <c r="O50" s="56"/>
      <c r="P50" s="56"/>
      <c r="Q50" s="56"/>
      <c r="R50" s="56"/>
      <c r="S50" s="56"/>
      <c r="T50" s="56"/>
      <c r="U50" s="56"/>
      <c r="V50" s="56"/>
      <c r="W50" s="129">
        <f>SUM(W51:W53)</f>
        <v>281580000</v>
      </c>
      <c r="X50" s="56"/>
    </row>
    <row r="51" spans="1:24" s="61" customFormat="1" ht="12.75">
      <c r="A51" s="58">
        <v>7</v>
      </c>
      <c r="B51" s="110" t="s">
        <v>272</v>
      </c>
      <c r="C51" s="56"/>
      <c r="D51" s="56"/>
      <c r="E51" s="56"/>
      <c r="F51" s="56"/>
      <c r="G51" s="56"/>
      <c r="H51" s="56"/>
      <c r="I51" s="56"/>
      <c r="J51" s="56"/>
      <c r="K51" s="56"/>
      <c r="L51" s="56"/>
      <c r="M51" s="56"/>
      <c r="N51" s="56"/>
      <c r="O51" s="56"/>
      <c r="P51" s="56"/>
      <c r="Q51" s="56"/>
      <c r="R51" s="56"/>
      <c r="S51" s="56"/>
      <c r="T51" s="56"/>
      <c r="U51" s="56"/>
      <c r="V51" s="56"/>
      <c r="W51" s="108">
        <v>108186000</v>
      </c>
      <c r="X51" s="56" t="s">
        <v>244</v>
      </c>
    </row>
    <row r="52" spans="1:25" s="61" customFormat="1" ht="12.75">
      <c r="A52" s="58">
        <v>8</v>
      </c>
      <c r="B52" s="110" t="s">
        <v>273</v>
      </c>
      <c r="C52" s="56"/>
      <c r="D52" s="56"/>
      <c r="E52" s="56"/>
      <c r="F52" s="56"/>
      <c r="G52" s="56"/>
      <c r="H52" s="56"/>
      <c r="I52" s="56"/>
      <c r="J52" s="56"/>
      <c r="K52" s="56"/>
      <c r="L52" s="56"/>
      <c r="M52" s="56"/>
      <c r="N52" s="56"/>
      <c r="O52" s="56"/>
      <c r="P52" s="56"/>
      <c r="Q52" s="56"/>
      <c r="R52" s="56"/>
      <c r="S52" s="56"/>
      <c r="T52" s="56"/>
      <c r="U52" s="56"/>
      <c r="V52" s="56"/>
      <c r="W52" s="108">
        <v>108186000</v>
      </c>
      <c r="X52" s="56" t="s">
        <v>244</v>
      </c>
      <c r="Y52" s="130">
        <f>W52/12</f>
        <v>9015500</v>
      </c>
    </row>
    <row r="53" spans="1:25" s="130" customFormat="1" ht="12.75">
      <c r="A53" s="86">
        <v>9</v>
      </c>
      <c r="B53" s="131" t="s">
        <v>274</v>
      </c>
      <c r="C53" s="132"/>
      <c r="D53" s="56"/>
      <c r="E53" s="132"/>
      <c r="F53" s="132"/>
      <c r="G53" s="132"/>
      <c r="H53" s="132"/>
      <c r="I53" s="132"/>
      <c r="J53" s="132"/>
      <c r="K53" s="132"/>
      <c r="L53" s="132"/>
      <c r="M53" s="132" t="s">
        <v>311</v>
      </c>
      <c r="N53" s="132"/>
      <c r="O53" s="132"/>
      <c r="P53" s="132"/>
      <c r="Q53" s="132"/>
      <c r="R53" s="132"/>
      <c r="S53" s="132"/>
      <c r="T53" s="132"/>
      <c r="U53" s="132"/>
      <c r="V53" s="132"/>
      <c r="W53" s="108">
        <v>65208000</v>
      </c>
      <c r="X53" s="56" t="s">
        <v>244</v>
      </c>
      <c r="Y53" s="130">
        <f>W53/12</f>
        <v>5434000</v>
      </c>
    </row>
    <row r="54" spans="1:24" s="61" customFormat="1" ht="12.75">
      <c r="A54" s="58"/>
      <c r="B54" s="59"/>
      <c r="C54" s="56"/>
      <c r="D54" s="56"/>
      <c r="E54" s="56"/>
      <c r="F54" s="56"/>
      <c r="G54" s="56"/>
      <c r="H54" s="56"/>
      <c r="I54" s="56"/>
      <c r="J54" s="56"/>
      <c r="K54" s="56"/>
      <c r="L54" s="56"/>
      <c r="M54" s="56"/>
      <c r="N54" s="56"/>
      <c r="O54" s="56"/>
      <c r="P54" s="56"/>
      <c r="Q54" s="56"/>
      <c r="R54" s="56"/>
      <c r="S54" s="56"/>
      <c r="T54" s="56"/>
      <c r="U54" s="56"/>
      <c r="V54" s="56"/>
      <c r="W54" s="108"/>
      <c r="X54" s="56"/>
    </row>
    <row r="55" spans="1:24" s="60" customFormat="1" ht="12.75">
      <c r="A55" s="142" t="s">
        <v>249</v>
      </c>
      <c r="B55" s="109" t="s">
        <v>250</v>
      </c>
      <c r="C55" s="143">
        <v>7</v>
      </c>
      <c r="D55" s="143">
        <f>SUM(D56:D62)</f>
        <v>46.22474999999999</v>
      </c>
      <c r="E55" s="143">
        <f>SUM(E56:E62)</f>
        <v>23.110000000000003</v>
      </c>
      <c r="F55" s="143">
        <f>SUM(F56:F62)</f>
        <v>17.8475</v>
      </c>
      <c r="G55" s="143">
        <f>SUM(G56:G62)</f>
        <v>3.5</v>
      </c>
      <c r="H55" s="143">
        <f aca="true" t="shared" si="24" ref="H55:V55">SUM(H56:H62)</f>
        <v>0.3</v>
      </c>
      <c r="I55" s="143">
        <f t="shared" si="24"/>
        <v>0</v>
      </c>
      <c r="J55" s="143">
        <f t="shared" si="24"/>
        <v>9.364999999999998</v>
      </c>
      <c r="K55" s="143">
        <f t="shared" si="24"/>
        <v>0</v>
      </c>
      <c r="L55" s="143">
        <f t="shared" si="24"/>
        <v>0</v>
      </c>
      <c r="M55" s="143">
        <f t="shared" si="24"/>
        <v>0</v>
      </c>
      <c r="N55" s="143">
        <f t="shared" si="24"/>
        <v>4.682499999999999</v>
      </c>
      <c r="O55" s="143">
        <f t="shared" si="24"/>
        <v>0</v>
      </c>
      <c r="P55" s="143">
        <f t="shared" si="24"/>
        <v>0</v>
      </c>
      <c r="Q55" s="143">
        <f t="shared" si="24"/>
        <v>0</v>
      </c>
      <c r="R55" s="143">
        <f t="shared" si="24"/>
        <v>0</v>
      </c>
      <c r="S55" s="143">
        <f t="shared" si="24"/>
        <v>0</v>
      </c>
      <c r="T55" s="143">
        <f t="shared" si="24"/>
        <v>0</v>
      </c>
      <c r="U55" s="143">
        <f t="shared" si="24"/>
        <v>0</v>
      </c>
      <c r="V55" s="143">
        <f t="shared" si="24"/>
        <v>5.267250000000001</v>
      </c>
      <c r="W55" s="144">
        <f>SUM(W56:W62)</f>
        <v>760613710</v>
      </c>
      <c r="X55" s="143"/>
    </row>
    <row r="56" spans="1:75" ht="15">
      <c r="A56" s="145">
        <v>1</v>
      </c>
      <c r="B56" s="146" t="s">
        <v>31</v>
      </c>
      <c r="C56" s="147"/>
      <c r="D56" s="147">
        <f aca="true" t="shared" si="25" ref="D56:D62">E56+F56+V56</f>
        <v>13.339999999999998</v>
      </c>
      <c r="E56" s="148">
        <v>6.1</v>
      </c>
      <c r="F56" s="57">
        <f aca="true" t="shared" si="26" ref="F56:F62">SUM(G56:U56)</f>
        <v>5.799999999999999</v>
      </c>
      <c r="G56" s="147">
        <v>0.7</v>
      </c>
      <c r="H56" s="147">
        <v>0.3</v>
      </c>
      <c r="I56" s="147"/>
      <c r="J56" s="147">
        <f>(E56+H56)*50%</f>
        <v>3.1999999999999997</v>
      </c>
      <c r="K56" s="147"/>
      <c r="L56" s="147"/>
      <c r="M56" s="147"/>
      <c r="N56" s="147">
        <f>(E56+H56)*25%</f>
        <v>1.5999999999999999</v>
      </c>
      <c r="O56" s="148"/>
      <c r="P56" s="147"/>
      <c r="Q56" s="147"/>
      <c r="R56" s="147"/>
      <c r="S56" s="149"/>
      <c r="T56" s="147"/>
      <c r="U56" s="147"/>
      <c r="V56" s="147">
        <f aca="true" t="shared" si="27" ref="V56:V61">(E56+H56)*22.5%</f>
        <v>1.44</v>
      </c>
      <c r="W56" s="150">
        <f>D56*1490000*12</f>
        <v>238519199.99999994</v>
      </c>
      <c r="X56" s="147"/>
      <c r="Y56" s="2"/>
      <c r="Z56" s="2"/>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row>
    <row r="57" spans="1:75" ht="15">
      <c r="A57" s="145">
        <v>2</v>
      </c>
      <c r="B57" s="146" t="s">
        <v>139</v>
      </c>
      <c r="C57" s="147"/>
      <c r="D57" s="147">
        <f t="shared" si="25"/>
        <v>6.625</v>
      </c>
      <c r="E57" s="148">
        <v>3</v>
      </c>
      <c r="F57" s="57">
        <f t="shared" si="26"/>
        <v>2.95</v>
      </c>
      <c r="G57" s="147">
        <v>0.7</v>
      </c>
      <c r="H57" s="147"/>
      <c r="I57" s="147"/>
      <c r="J57" s="147">
        <f>(E57+H57)*50%</f>
        <v>1.5</v>
      </c>
      <c r="K57" s="147"/>
      <c r="L57" s="147"/>
      <c r="M57" s="147"/>
      <c r="N57" s="147">
        <f>(E57+H57)*25%</f>
        <v>0.75</v>
      </c>
      <c r="O57" s="148"/>
      <c r="P57" s="147"/>
      <c r="Q57" s="147"/>
      <c r="R57" s="147"/>
      <c r="S57" s="149"/>
      <c r="T57" s="147"/>
      <c r="U57" s="147"/>
      <c r="V57" s="147">
        <f t="shared" si="27"/>
        <v>0.675</v>
      </c>
      <c r="W57" s="150">
        <f>D57*1490000*12</f>
        <v>118455000</v>
      </c>
      <c r="X57" s="147"/>
      <c r="Y57" s="2"/>
      <c r="Z57" s="2"/>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row>
    <row r="58" spans="1:75" ht="15">
      <c r="A58" s="145">
        <v>3</v>
      </c>
      <c r="B58" s="146" t="s">
        <v>137</v>
      </c>
      <c r="C58" s="147"/>
      <c r="D58" s="147">
        <f t="shared" si="25"/>
        <v>5.3215</v>
      </c>
      <c r="E58" s="148">
        <v>2.34</v>
      </c>
      <c r="F58" s="57">
        <f t="shared" si="26"/>
        <v>2.455</v>
      </c>
      <c r="G58" s="147">
        <v>0.7</v>
      </c>
      <c r="H58" s="147"/>
      <c r="I58" s="147"/>
      <c r="J58" s="147">
        <f>(E58+H58)*50%</f>
        <v>1.17</v>
      </c>
      <c r="K58" s="147"/>
      <c r="L58" s="147"/>
      <c r="M58" s="147"/>
      <c r="N58" s="147">
        <f>(E58+H58)*25%</f>
        <v>0.585</v>
      </c>
      <c r="O58" s="148"/>
      <c r="P58" s="147"/>
      <c r="Q58" s="147"/>
      <c r="R58" s="147"/>
      <c r="S58" s="149"/>
      <c r="T58" s="147"/>
      <c r="U58" s="147"/>
      <c r="V58" s="147">
        <f t="shared" si="27"/>
        <v>0.5265</v>
      </c>
      <c r="W58" s="150">
        <f>D58*1490000*8</f>
        <v>63432280.00000001</v>
      </c>
      <c r="X58" s="147"/>
      <c r="Y58" s="2"/>
      <c r="Z58" s="2"/>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row>
    <row r="59" spans="1:75" ht="15">
      <c r="A59" s="145"/>
      <c r="B59" s="151" t="s">
        <v>275</v>
      </c>
      <c r="C59" s="152"/>
      <c r="D59" s="147">
        <f t="shared" si="25"/>
        <v>2.8665</v>
      </c>
      <c r="E59" s="153">
        <v>2.34</v>
      </c>
      <c r="F59" s="57">
        <f t="shared" si="26"/>
        <v>0</v>
      </c>
      <c r="G59" s="147"/>
      <c r="H59" s="152"/>
      <c r="I59" s="152"/>
      <c r="J59" s="147"/>
      <c r="K59" s="152"/>
      <c r="L59" s="152"/>
      <c r="M59" s="152"/>
      <c r="N59" s="147"/>
      <c r="O59" s="153"/>
      <c r="P59" s="152"/>
      <c r="Q59" s="152"/>
      <c r="R59" s="152"/>
      <c r="S59" s="154"/>
      <c r="T59" s="152"/>
      <c r="U59" s="152"/>
      <c r="V59" s="147">
        <f>(E59+H59)*22.5%</f>
        <v>0.5265</v>
      </c>
      <c r="W59" s="150">
        <f>D59*1490000*4</f>
        <v>17084340</v>
      </c>
      <c r="X59" s="152"/>
      <c r="Y59" s="138"/>
      <c r="Z59" s="138"/>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row>
    <row r="60" spans="1:24" s="61" customFormat="1" ht="12.75">
      <c r="A60" s="145">
        <v>4</v>
      </c>
      <c r="B60" s="62" t="s">
        <v>251</v>
      </c>
      <c r="C60" s="57"/>
      <c r="D60" s="147">
        <f t="shared" si="25"/>
        <v>6.625</v>
      </c>
      <c r="E60" s="57">
        <v>3</v>
      </c>
      <c r="F60" s="57">
        <f t="shared" si="26"/>
        <v>2.95</v>
      </c>
      <c r="G60" s="147">
        <v>0.7</v>
      </c>
      <c r="H60" s="57"/>
      <c r="I60" s="57"/>
      <c r="J60" s="147">
        <f>(E60+H60)*50%</f>
        <v>1.5</v>
      </c>
      <c r="K60" s="57"/>
      <c r="L60" s="57"/>
      <c r="M60" s="57"/>
      <c r="N60" s="147">
        <f>(E60+H60)*25%</f>
        <v>0.75</v>
      </c>
      <c r="O60" s="57"/>
      <c r="P60" s="57"/>
      <c r="Q60" s="57"/>
      <c r="R60" s="57"/>
      <c r="S60" s="57"/>
      <c r="T60" s="57"/>
      <c r="U60" s="57"/>
      <c r="V60" s="147">
        <f t="shared" si="27"/>
        <v>0.675</v>
      </c>
      <c r="W60" s="150">
        <f>D60*1490000*12</f>
        <v>118455000</v>
      </c>
      <c r="X60" s="57"/>
    </row>
    <row r="61" spans="1:24" s="61" customFormat="1" ht="12.75">
      <c r="A61" s="145">
        <v>5</v>
      </c>
      <c r="B61" s="62" t="s">
        <v>106</v>
      </c>
      <c r="C61" s="57"/>
      <c r="D61" s="147">
        <f t="shared" si="25"/>
        <v>8.580250000000001</v>
      </c>
      <c r="E61" s="57">
        <v>3.99</v>
      </c>
      <c r="F61" s="57">
        <f t="shared" si="26"/>
        <v>3.6925000000000003</v>
      </c>
      <c r="G61" s="147">
        <v>0.7</v>
      </c>
      <c r="H61" s="57"/>
      <c r="I61" s="57"/>
      <c r="J61" s="147">
        <f>(E61+H61)*50%</f>
        <v>1.995</v>
      </c>
      <c r="K61" s="57"/>
      <c r="L61" s="57"/>
      <c r="M61" s="57"/>
      <c r="N61" s="147">
        <f>(E61+H61)*25%</f>
        <v>0.9975</v>
      </c>
      <c r="O61" s="57"/>
      <c r="P61" s="57"/>
      <c r="Q61" s="57"/>
      <c r="R61" s="57"/>
      <c r="S61" s="57"/>
      <c r="T61" s="57"/>
      <c r="U61" s="57"/>
      <c r="V61" s="147">
        <f t="shared" si="27"/>
        <v>0.89775</v>
      </c>
      <c r="W61" s="150">
        <f>D61*1490000*12</f>
        <v>153414870.00000003</v>
      </c>
      <c r="X61" s="57"/>
    </row>
    <row r="62" spans="1:24" s="61" customFormat="1" ht="12.75">
      <c r="A62" s="145">
        <v>6</v>
      </c>
      <c r="B62" s="62" t="s">
        <v>277</v>
      </c>
      <c r="C62" s="57"/>
      <c r="D62" s="147">
        <f t="shared" si="25"/>
        <v>2.8665</v>
      </c>
      <c r="E62" s="57">
        <f>2.34</f>
        <v>2.34</v>
      </c>
      <c r="F62" s="57">
        <f t="shared" si="26"/>
        <v>0</v>
      </c>
      <c r="G62" s="147"/>
      <c r="H62" s="57"/>
      <c r="I62" s="57"/>
      <c r="J62" s="147"/>
      <c r="K62" s="57"/>
      <c r="L62" s="57"/>
      <c r="M62" s="57"/>
      <c r="N62" s="57"/>
      <c r="O62" s="57"/>
      <c r="P62" s="57"/>
      <c r="Q62" s="57"/>
      <c r="R62" s="57"/>
      <c r="S62" s="57"/>
      <c r="T62" s="57"/>
      <c r="U62" s="57"/>
      <c r="V62" s="147">
        <f>(E62+H62)*22.5%</f>
        <v>0.5265</v>
      </c>
      <c r="W62" s="150">
        <f>D62*1490000*12</f>
        <v>51253020</v>
      </c>
      <c r="X62" s="57"/>
    </row>
    <row r="63" spans="1:24" s="60" customFormat="1" ht="12.75">
      <c r="A63" s="155" t="s">
        <v>252</v>
      </c>
      <c r="B63" s="109" t="s">
        <v>253</v>
      </c>
      <c r="C63" s="143"/>
      <c r="D63" s="156">
        <f aca="true" t="shared" si="28" ref="D63:W63">SUM(D64:D69)</f>
        <v>50.345749999999995</v>
      </c>
      <c r="E63" s="156">
        <f t="shared" si="28"/>
        <v>23.97</v>
      </c>
      <c r="F63" s="156">
        <f t="shared" si="28"/>
        <v>20.7575</v>
      </c>
      <c r="G63" s="156">
        <f t="shared" si="28"/>
        <v>3.5</v>
      </c>
      <c r="H63" s="156">
        <f t="shared" si="28"/>
        <v>1</v>
      </c>
      <c r="I63" s="156">
        <f t="shared" si="28"/>
        <v>0</v>
      </c>
      <c r="J63" s="156">
        <f t="shared" si="28"/>
        <v>10.145</v>
      </c>
      <c r="K63" s="156">
        <f t="shared" si="28"/>
        <v>0</v>
      </c>
      <c r="L63" s="156">
        <f t="shared" si="28"/>
        <v>0</v>
      </c>
      <c r="M63" s="156">
        <f t="shared" si="28"/>
        <v>0</v>
      </c>
      <c r="N63" s="156">
        <f t="shared" si="28"/>
        <v>5.0725</v>
      </c>
      <c r="O63" s="156">
        <f t="shared" si="28"/>
        <v>0</v>
      </c>
      <c r="P63" s="156">
        <f t="shared" si="28"/>
        <v>0</v>
      </c>
      <c r="Q63" s="156">
        <f t="shared" si="28"/>
        <v>0.6</v>
      </c>
      <c r="R63" s="156">
        <f t="shared" si="28"/>
        <v>0</v>
      </c>
      <c r="S63" s="156">
        <f t="shared" si="28"/>
        <v>0</v>
      </c>
      <c r="T63" s="156">
        <f t="shared" si="28"/>
        <v>0</v>
      </c>
      <c r="U63" s="156">
        <f t="shared" si="28"/>
        <v>0.44</v>
      </c>
      <c r="V63" s="156">
        <f t="shared" si="28"/>
        <v>5.61825</v>
      </c>
      <c r="W63" s="156">
        <f t="shared" si="28"/>
        <v>725827425</v>
      </c>
      <c r="X63" s="143"/>
    </row>
    <row r="64" spans="1:24" s="60" customFormat="1" ht="16.5">
      <c r="A64" s="157">
        <v>1</v>
      </c>
      <c r="B64" s="158" t="s">
        <v>23</v>
      </c>
      <c r="C64" s="143"/>
      <c r="D64" s="159">
        <f aca="true" t="shared" si="29" ref="D64:D69">E64+F64+V64</f>
        <v>9.692749999999998</v>
      </c>
      <c r="E64" s="160">
        <v>3.99</v>
      </c>
      <c r="F64" s="159">
        <f aca="true" t="shared" si="30" ref="F64:F69">SUM(G64:U64)</f>
        <v>4.7375</v>
      </c>
      <c r="G64" s="160">
        <v>0.7</v>
      </c>
      <c r="H64" s="160">
        <v>0.3</v>
      </c>
      <c r="I64" s="160"/>
      <c r="J64" s="159">
        <f>(E64+H64)*50%</f>
        <v>2.145</v>
      </c>
      <c r="K64" s="160"/>
      <c r="L64" s="160"/>
      <c r="M64" s="160"/>
      <c r="N64" s="159">
        <f>(E64+H64)*25%</f>
        <v>1.0725</v>
      </c>
      <c r="O64" s="160"/>
      <c r="P64" s="160"/>
      <c r="Q64" s="160">
        <v>0.3</v>
      </c>
      <c r="R64" s="160"/>
      <c r="S64" s="160"/>
      <c r="T64" s="160"/>
      <c r="U64" s="160">
        <v>0.22</v>
      </c>
      <c r="V64" s="159">
        <f aca="true" t="shared" si="31" ref="V64:V69">(E64+H64)*22.5%</f>
        <v>0.96525</v>
      </c>
      <c r="W64" s="161">
        <f>D64*1490000*2</f>
        <v>28884394.999999996</v>
      </c>
      <c r="X64" s="143"/>
    </row>
    <row r="65" spans="1:24" s="141" customFormat="1" ht="16.5">
      <c r="A65" s="162"/>
      <c r="B65" s="158" t="s">
        <v>23</v>
      </c>
      <c r="C65" s="163"/>
      <c r="D65" s="159">
        <f t="shared" si="29"/>
        <v>10.0445</v>
      </c>
      <c r="E65" s="159">
        <v>4.32</v>
      </c>
      <c r="F65" s="159">
        <f t="shared" si="30"/>
        <v>4.685</v>
      </c>
      <c r="G65" s="159">
        <v>0.7</v>
      </c>
      <c r="H65" s="159">
        <v>0.3</v>
      </c>
      <c r="I65" s="159"/>
      <c r="J65" s="159">
        <f>(E65+H65)*50%</f>
        <v>2.31</v>
      </c>
      <c r="K65" s="159"/>
      <c r="L65" s="159"/>
      <c r="M65" s="159"/>
      <c r="N65" s="159">
        <f>(E65+H65)*25%</f>
        <v>1.155</v>
      </c>
      <c r="O65" s="159"/>
      <c r="P65" s="159"/>
      <c r="Q65" s="159"/>
      <c r="R65" s="159"/>
      <c r="S65" s="159"/>
      <c r="T65" s="159"/>
      <c r="U65" s="159">
        <v>0.22</v>
      </c>
      <c r="V65" s="159">
        <f t="shared" si="31"/>
        <v>1.0395</v>
      </c>
      <c r="W65" s="161">
        <f>D65*1490000*10</f>
        <v>149663049.99999997</v>
      </c>
      <c r="X65" s="164"/>
    </row>
    <row r="66" spans="1:24" s="141" customFormat="1" ht="16.5">
      <c r="A66" s="162">
        <v>2</v>
      </c>
      <c r="B66" s="158" t="s">
        <v>145</v>
      </c>
      <c r="C66" s="163"/>
      <c r="D66" s="159">
        <f t="shared" si="29"/>
        <v>9.927</v>
      </c>
      <c r="E66" s="159">
        <v>4.32</v>
      </c>
      <c r="F66" s="159">
        <f t="shared" si="30"/>
        <v>4.59</v>
      </c>
      <c r="G66" s="159">
        <v>0.7</v>
      </c>
      <c r="H66" s="159">
        <v>0.2</v>
      </c>
      <c r="I66" s="159"/>
      <c r="J66" s="159">
        <f>(E66+H66)*50%</f>
        <v>2.2600000000000002</v>
      </c>
      <c r="K66" s="159"/>
      <c r="L66" s="159"/>
      <c r="M66" s="159"/>
      <c r="N66" s="159">
        <f>(E66+H66)*25%</f>
        <v>1.1300000000000001</v>
      </c>
      <c r="O66" s="159"/>
      <c r="P66" s="159"/>
      <c r="Q66" s="159">
        <v>0.3</v>
      </c>
      <c r="R66" s="159"/>
      <c r="S66" s="159"/>
      <c r="T66" s="159"/>
      <c r="U66" s="159"/>
      <c r="V66" s="159">
        <f t="shared" si="31"/>
        <v>1.0170000000000001</v>
      </c>
      <c r="W66" s="161">
        <f>D66*1490000*12</f>
        <v>177494760</v>
      </c>
      <c r="X66" s="165"/>
    </row>
    <row r="67" spans="1:24" s="141" customFormat="1" ht="16.5">
      <c r="A67" s="162">
        <v>3</v>
      </c>
      <c r="B67" s="166" t="s">
        <v>146</v>
      </c>
      <c r="C67" s="163"/>
      <c r="D67" s="159">
        <f t="shared" si="29"/>
        <v>8.97525</v>
      </c>
      <c r="E67" s="159">
        <v>3.99</v>
      </c>
      <c r="F67" s="159">
        <f t="shared" si="30"/>
        <v>4.0425</v>
      </c>
      <c r="G67" s="159">
        <v>0.7</v>
      </c>
      <c r="H67" s="159">
        <v>0.2</v>
      </c>
      <c r="I67" s="159"/>
      <c r="J67" s="159">
        <f>(E67+H67)*50%</f>
        <v>2.095</v>
      </c>
      <c r="K67" s="159"/>
      <c r="L67" s="159"/>
      <c r="M67" s="159"/>
      <c r="N67" s="159">
        <f>(E67+H67)*25%</f>
        <v>1.0475</v>
      </c>
      <c r="O67" s="159"/>
      <c r="P67" s="159"/>
      <c r="Q67" s="159"/>
      <c r="R67" s="159"/>
      <c r="S67" s="159"/>
      <c r="T67" s="159"/>
      <c r="U67" s="159"/>
      <c r="V67" s="159">
        <f t="shared" si="31"/>
        <v>0.9427500000000001</v>
      </c>
      <c r="W67" s="161">
        <f>D67*1490000*12</f>
        <v>160477470.00000003</v>
      </c>
      <c r="X67" s="164"/>
    </row>
    <row r="68" spans="1:24" s="141" customFormat="1" ht="16.5">
      <c r="A68" s="167">
        <v>4</v>
      </c>
      <c r="B68" s="168" t="s">
        <v>143</v>
      </c>
      <c r="C68" s="169"/>
      <c r="D68" s="159">
        <f t="shared" si="29"/>
        <v>5.97325</v>
      </c>
      <c r="E68" s="170">
        <v>2.67</v>
      </c>
      <c r="F68" s="170">
        <f t="shared" si="30"/>
        <v>2.7025</v>
      </c>
      <c r="G68" s="170">
        <v>0.7</v>
      </c>
      <c r="H68" s="170"/>
      <c r="I68" s="170"/>
      <c r="J68" s="170">
        <f>(E68+H68)*50%</f>
        <v>1.335</v>
      </c>
      <c r="K68" s="170"/>
      <c r="L68" s="170"/>
      <c r="M68" s="170"/>
      <c r="N68" s="170">
        <f>(E68+H68)*25%</f>
        <v>0.6675</v>
      </c>
      <c r="O68" s="170"/>
      <c r="P68" s="170"/>
      <c r="Q68" s="170"/>
      <c r="R68" s="170"/>
      <c r="S68" s="170"/>
      <c r="T68" s="170"/>
      <c r="U68" s="170"/>
      <c r="V68" s="170">
        <f t="shared" si="31"/>
        <v>0.60075</v>
      </c>
      <c r="W68" s="171">
        <f>D68*1490000*12</f>
        <v>106801710</v>
      </c>
      <c r="X68" s="172"/>
    </row>
    <row r="69" spans="1:24" s="141" customFormat="1" ht="16.5">
      <c r="A69" s="173">
        <v>6</v>
      </c>
      <c r="B69" s="174" t="s">
        <v>310</v>
      </c>
      <c r="C69" s="175"/>
      <c r="D69" s="159">
        <f t="shared" si="29"/>
        <v>5.733</v>
      </c>
      <c r="E69" s="176">
        <f>2.34*2</f>
        <v>4.68</v>
      </c>
      <c r="F69" s="170">
        <f t="shared" si="30"/>
        <v>0</v>
      </c>
      <c r="G69" s="176"/>
      <c r="H69" s="176"/>
      <c r="I69" s="176"/>
      <c r="J69" s="176"/>
      <c r="K69" s="176"/>
      <c r="L69" s="176"/>
      <c r="M69" s="176"/>
      <c r="N69" s="176"/>
      <c r="O69" s="176"/>
      <c r="P69" s="176"/>
      <c r="Q69" s="176"/>
      <c r="R69" s="176"/>
      <c r="S69" s="176"/>
      <c r="T69" s="176"/>
      <c r="U69" s="176"/>
      <c r="V69" s="176">
        <f t="shared" si="31"/>
        <v>1.053</v>
      </c>
      <c r="W69" s="171">
        <f>D69*1490000*12</f>
        <v>102506040</v>
      </c>
      <c r="X69" s="177"/>
    </row>
    <row r="70" spans="1:24" s="60" customFormat="1" ht="12.75">
      <c r="A70" s="142" t="s">
        <v>254</v>
      </c>
      <c r="B70" s="109" t="s">
        <v>255</v>
      </c>
      <c r="C70" s="143"/>
      <c r="D70" s="143">
        <f>SUM(D72:D76)</f>
        <v>44.96625</v>
      </c>
      <c r="E70" s="143">
        <f aca="true" t="shared" si="32" ref="E70:W70">SUM(E72:E76)</f>
        <v>19.950000000000003</v>
      </c>
      <c r="F70" s="143">
        <f t="shared" si="32"/>
        <v>20.347500000000004</v>
      </c>
      <c r="G70" s="143">
        <f t="shared" si="32"/>
        <v>3.5</v>
      </c>
      <c r="H70" s="143">
        <f t="shared" si="32"/>
        <v>0.8</v>
      </c>
      <c r="I70" s="143">
        <f t="shared" si="32"/>
        <v>0</v>
      </c>
      <c r="J70" s="143">
        <f t="shared" si="32"/>
        <v>10.375</v>
      </c>
      <c r="K70" s="143">
        <f t="shared" si="32"/>
        <v>0</v>
      </c>
      <c r="L70" s="143">
        <f t="shared" si="32"/>
        <v>0</v>
      </c>
      <c r="M70" s="143">
        <f t="shared" si="32"/>
        <v>0</v>
      </c>
      <c r="N70" s="143">
        <f t="shared" si="32"/>
        <v>5.1875</v>
      </c>
      <c r="O70" s="143">
        <f t="shared" si="32"/>
        <v>0</v>
      </c>
      <c r="P70" s="143">
        <f t="shared" si="32"/>
        <v>0</v>
      </c>
      <c r="Q70" s="143">
        <f t="shared" si="32"/>
        <v>0</v>
      </c>
      <c r="R70" s="143">
        <f t="shared" si="32"/>
        <v>0</v>
      </c>
      <c r="S70" s="143">
        <f t="shared" si="32"/>
        <v>0</v>
      </c>
      <c r="T70" s="143">
        <f t="shared" si="32"/>
        <v>0.4850000000000001</v>
      </c>
      <c r="U70" s="143">
        <f t="shared" si="32"/>
        <v>0</v>
      </c>
      <c r="V70" s="143">
        <f t="shared" si="32"/>
        <v>4.66875</v>
      </c>
      <c r="W70" s="144">
        <f t="shared" si="32"/>
        <v>630204812.5</v>
      </c>
      <c r="X70" s="143"/>
    </row>
    <row r="71" spans="1:24" s="60" customFormat="1" ht="12.75">
      <c r="A71" s="142"/>
      <c r="B71" s="178" t="s">
        <v>75</v>
      </c>
      <c r="C71" s="143">
        <v>6</v>
      </c>
      <c r="D71" s="143">
        <f>SUM(D72:D76)</f>
        <v>44.96625</v>
      </c>
      <c r="E71" s="143">
        <f aca="true" t="shared" si="33" ref="E71:U71">SUM(E72:E76)</f>
        <v>19.950000000000003</v>
      </c>
      <c r="F71" s="143">
        <f t="shared" si="33"/>
        <v>20.347500000000004</v>
      </c>
      <c r="G71" s="143">
        <f t="shared" si="33"/>
        <v>3.5</v>
      </c>
      <c r="H71" s="143">
        <f t="shared" si="33"/>
        <v>0.8</v>
      </c>
      <c r="I71" s="143">
        <f t="shared" si="33"/>
        <v>0</v>
      </c>
      <c r="J71" s="143">
        <f t="shared" si="33"/>
        <v>10.375</v>
      </c>
      <c r="K71" s="143">
        <f t="shared" si="33"/>
        <v>0</v>
      </c>
      <c r="L71" s="143">
        <f t="shared" si="33"/>
        <v>0</v>
      </c>
      <c r="M71" s="143">
        <f t="shared" si="33"/>
        <v>0</v>
      </c>
      <c r="N71" s="143">
        <f t="shared" si="33"/>
        <v>5.1875</v>
      </c>
      <c r="O71" s="143">
        <f t="shared" si="33"/>
        <v>0</v>
      </c>
      <c r="P71" s="143">
        <f t="shared" si="33"/>
        <v>0</v>
      </c>
      <c r="Q71" s="143">
        <f t="shared" si="33"/>
        <v>0</v>
      </c>
      <c r="R71" s="143">
        <f t="shared" si="33"/>
        <v>0</v>
      </c>
      <c r="S71" s="143">
        <f t="shared" si="33"/>
        <v>0</v>
      </c>
      <c r="T71" s="143">
        <f t="shared" si="33"/>
        <v>0.4850000000000001</v>
      </c>
      <c r="U71" s="143">
        <f t="shared" si="33"/>
        <v>0</v>
      </c>
      <c r="V71" s="143">
        <f>SUM(V72:V76)</f>
        <v>4.66875</v>
      </c>
      <c r="W71" s="143">
        <f>SUM(W72:W76)</f>
        <v>630204812.5</v>
      </c>
      <c r="X71" s="143"/>
    </row>
    <row r="72" spans="1:24" s="61" customFormat="1" ht="12.75">
      <c r="A72" s="179">
        <v>1</v>
      </c>
      <c r="B72" s="180" t="s">
        <v>256</v>
      </c>
      <c r="C72" s="57"/>
      <c r="D72" s="57">
        <f>E72+F72+V72</f>
        <v>8.521</v>
      </c>
      <c r="E72" s="57">
        <v>3.66</v>
      </c>
      <c r="F72" s="57">
        <f>SUM(G72:U72)</f>
        <v>3.9699999999999998</v>
      </c>
      <c r="G72" s="57">
        <v>0.7</v>
      </c>
      <c r="H72" s="57">
        <v>0.3</v>
      </c>
      <c r="I72" s="57"/>
      <c r="J72" s="57">
        <f>0.5*(E72+H72)</f>
        <v>1.98</v>
      </c>
      <c r="K72" s="57"/>
      <c r="L72" s="57"/>
      <c r="M72" s="57"/>
      <c r="N72" s="57">
        <f>0.25*(E72+H72)</f>
        <v>0.99</v>
      </c>
      <c r="O72" s="57"/>
      <c r="P72" s="57"/>
      <c r="Q72" s="57"/>
      <c r="R72" s="57"/>
      <c r="S72" s="57"/>
      <c r="T72" s="57"/>
      <c r="U72" s="57"/>
      <c r="V72" s="57">
        <f>(E72+H72)*22.5%</f>
        <v>0.891</v>
      </c>
      <c r="W72" s="181">
        <f>D72*1490000*2</f>
        <v>25392580.000000004</v>
      </c>
      <c r="X72" s="57" t="s">
        <v>257</v>
      </c>
    </row>
    <row r="73" spans="1:25" s="61" customFormat="1" ht="12.75">
      <c r="A73" s="179">
        <v>2</v>
      </c>
      <c r="B73" s="180" t="s">
        <v>25</v>
      </c>
      <c r="C73" s="57"/>
      <c r="D73" s="57">
        <f>E73+F73+V73</f>
        <v>10.47625</v>
      </c>
      <c r="E73" s="57">
        <v>4.65</v>
      </c>
      <c r="F73" s="57">
        <f>SUM(G73:U73)</f>
        <v>4.7125</v>
      </c>
      <c r="G73" s="57">
        <v>0.7</v>
      </c>
      <c r="H73" s="57">
        <v>0.3</v>
      </c>
      <c r="I73" s="57"/>
      <c r="J73" s="57">
        <f>0.5*(E73+H73)</f>
        <v>2.475</v>
      </c>
      <c r="K73" s="57"/>
      <c r="L73" s="57"/>
      <c r="M73" s="57"/>
      <c r="N73" s="57">
        <f>0.25*(E73+H73)</f>
        <v>1.2375</v>
      </c>
      <c r="O73" s="57"/>
      <c r="P73" s="57"/>
      <c r="Q73" s="57"/>
      <c r="R73" s="57"/>
      <c r="S73" s="57"/>
      <c r="T73" s="57"/>
      <c r="U73" s="57"/>
      <c r="V73" s="57">
        <f>(E73+H73)*22.5%</f>
        <v>1.11375</v>
      </c>
      <c r="W73" s="181">
        <f>D73*1490000*9</f>
        <v>140486512.5</v>
      </c>
      <c r="X73" s="57" t="s">
        <v>246</v>
      </c>
      <c r="Y73" s="133"/>
    </row>
    <row r="74" spans="1:24" s="61" customFormat="1" ht="12.75">
      <c r="A74" s="179">
        <v>3</v>
      </c>
      <c r="B74" s="180" t="s">
        <v>134</v>
      </c>
      <c r="C74" s="57"/>
      <c r="D74" s="57">
        <f>E74+F74+V74</f>
        <v>10.763750000000002</v>
      </c>
      <c r="E74" s="57">
        <v>4.65</v>
      </c>
      <c r="F74" s="57">
        <f>SUM(G74:U74)</f>
        <v>5.022500000000001</v>
      </c>
      <c r="G74" s="57">
        <v>0.7</v>
      </c>
      <c r="H74" s="57">
        <v>0.2</v>
      </c>
      <c r="I74" s="57"/>
      <c r="J74" s="57">
        <f>0.5*(E74+H74)</f>
        <v>2.4250000000000003</v>
      </c>
      <c r="K74" s="57"/>
      <c r="L74" s="57"/>
      <c r="M74" s="57"/>
      <c r="N74" s="57">
        <f>0.25*(E74+H74)</f>
        <v>1.2125000000000001</v>
      </c>
      <c r="O74" s="57"/>
      <c r="P74" s="57"/>
      <c r="Q74" s="57"/>
      <c r="R74" s="57"/>
      <c r="S74" s="57"/>
      <c r="T74" s="182">
        <f>(E74+H74)*10%</f>
        <v>0.4850000000000001</v>
      </c>
      <c r="U74" s="57"/>
      <c r="V74" s="57">
        <f>(E74+H74)*22.5%</f>
        <v>1.09125</v>
      </c>
      <c r="W74" s="181">
        <f>D74*1490000*12</f>
        <v>192455850.00000003</v>
      </c>
      <c r="X74" s="57"/>
    </row>
    <row r="75" spans="1:24" s="61" customFormat="1" ht="12.75">
      <c r="A75" s="179">
        <v>4</v>
      </c>
      <c r="B75" s="183" t="s">
        <v>132</v>
      </c>
      <c r="C75" s="57"/>
      <c r="D75" s="57">
        <f>E75+F75+V75</f>
        <v>9.232000000000001</v>
      </c>
      <c r="E75" s="57">
        <v>4.32</v>
      </c>
      <c r="F75" s="57">
        <f>SUM(G75:U75)</f>
        <v>3.9400000000000004</v>
      </c>
      <c r="G75" s="57">
        <v>0.7</v>
      </c>
      <c r="H75" s="57"/>
      <c r="I75" s="57"/>
      <c r="J75" s="57">
        <f>0.5*(E75+H75)</f>
        <v>2.16</v>
      </c>
      <c r="K75" s="57"/>
      <c r="L75" s="57"/>
      <c r="M75" s="57"/>
      <c r="N75" s="57">
        <f>0.25*(E75+H75)</f>
        <v>1.08</v>
      </c>
      <c r="O75" s="57"/>
      <c r="P75" s="57"/>
      <c r="Q75" s="57"/>
      <c r="R75" s="57"/>
      <c r="S75" s="57"/>
      <c r="T75" s="57"/>
      <c r="U75" s="57"/>
      <c r="V75" s="57">
        <f>(E75+H75)*22.5%</f>
        <v>0.9720000000000001</v>
      </c>
      <c r="W75" s="181">
        <f>D75*1490000*12</f>
        <v>165068160.00000003</v>
      </c>
      <c r="X75" s="57"/>
    </row>
    <row r="76" spans="1:24" s="61" customFormat="1" ht="12.75">
      <c r="A76" s="179">
        <v>5</v>
      </c>
      <c r="B76" s="62" t="s">
        <v>276</v>
      </c>
      <c r="C76" s="57"/>
      <c r="D76" s="57">
        <f>E76+F76+V76</f>
        <v>5.97325</v>
      </c>
      <c r="E76" s="57">
        <v>2.67</v>
      </c>
      <c r="F76" s="57">
        <f>SUM(G76:U76)</f>
        <v>2.7025</v>
      </c>
      <c r="G76" s="57">
        <v>0.7</v>
      </c>
      <c r="H76" s="57"/>
      <c r="I76" s="57"/>
      <c r="J76" s="57">
        <f>0.5*(E76+H76)</f>
        <v>1.335</v>
      </c>
      <c r="K76" s="57"/>
      <c r="L76" s="57"/>
      <c r="M76" s="57"/>
      <c r="N76" s="57">
        <f>0.25*(E76+H76)</f>
        <v>0.6675</v>
      </c>
      <c r="O76" s="57"/>
      <c r="P76" s="57"/>
      <c r="Q76" s="57"/>
      <c r="R76" s="57"/>
      <c r="S76" s="57"/>
      <c r="T76" s="57"/>
      <c r="U76" s="57"/>
      <c r="V76" s="57">
        <f>(E76+H76)*22.5%</f>
        <v>0.60075</v>
      </c>
      <c r="W76" s="181">
        <f>D76*1490000*12</f>
        <v>106801710</v>
      </c>
      <c r="X76" s="57"/>
    </row>
    <row r="77" spans="1:24" s="60" customFormat="1" ht="12.75">
      <c r="A77" s="142" t="s">
        <v>258</v>
      </c>
      <c r="B77" s="109" t="s">
        <v>259</v>
      </c>
      <c r="C77" s="143"/>
      <c r="D77" s="143">
        <f>SUM(D78:D81)</f>
        <v>23.729</v>
      </c>
      <c r="E77" s="143">
        <f aca="true" t="shared" si="34" ref="E77:V77">SUM(E78:E81)</f>
        <v>11.64</v>
      </c>
      <c r="F77" s="143">
        <f t="shared" si="34"/>
        <v>9.425</v>
      </c>
      <c r="G77" s="143">
        <f t="shared" si="34"/>
        <v>2.0999999999999996</v>
      </c>
      <c r="H77" s="143">
        <f t="shared" si="34"/>
        <v>0.2</v>
      </c>
      <c r="I77" s="143">
        <f t="shared" si="34"/>
        <v>0</v>
      </c>
      <c r="J77" s="143">
        <f t="shared" si="34"/>
        <v>4.75</v>
      </c>
      <c r="K77" s="143">
        <f t="shared" si="34"/>
        <v>0</v>
      </c>
      <c r="L77" s="143">
        <f t="shared" si="34"/>
        <v>0</v>
      </c>
      <c r="M77" s="143">
        <f t="shared" si="34"/>
        <v>0</v>
      </c>
      <c r="N77" s="143">
        <f t="shared" si="34"/>
        <v>2.375</v>
      </c>
      <c r="O77" s="143">
        <f t="shared" si="34"/>
        <v>0</v>
      </c>
      <c r="P77" s="143">
        <f t="shared" si="34"/>
        <v>0</v>
      </c>
      <c r="Q77" s="143">
        <f t="shared" si="34"/>
        <v>0</v>
      </c>
      <c r="R77" s="143">
        <f t="shared" si="34"/>
        <v>0</v>
      </c>
      <c r="S77" s="143">
        <f t="shared" si="34"/>
        <v>0</v>
      </c>
      <c r="T77" s="143">
        <f t="shared" si="34"/>
        <v>0</v>
      </c>
      <c r="U77" s="143">
        <f t="shared" si="34"/>
        <v>0</v>
      </c>
      <c r="V77" s="143">
        <f t="shared" si="34"/>
        <v>2.664</v>
      </c>
      <c r="W77" s="143">
        <f>SUM(W78:W81)</f>
        <v>424274520</v>
      </c>
      <c r="X77" s="143"/>
    </row>
    <row r="78" spans="1:24" s="61" customFormat="1" ht="12.75">
      <c r="A78" s="179">
        <v>1</v>
      </c>
      <c r="B78" s="180" t="s">
        <v>57</v>
      </c>
      <c r="C78" s="57"/>
      <c r="D78" s="57">
        <f>E78+F78+V78</f>
        <v>8.916</v>
      </c>
      <c r="E78" s="57">
        <v>3.96</v>
      </c>
      <c r="F78" s="57">
        <f>SUM(G78:U78)</f>
        <v>4.02</v>
      </c>
      <c r="G78" s="57">
        <v>0.7</v>
      </c>
      <c r="H78" s="57">
        <v>0.2</v>
      </c>
      <c r="I78" s="57"/>
      <c r="J78" s="57">
        <f>0.5*(E78+H78)</f>
        <v>2.08</v>
      </c>
      <c r="K78" s="57"/>
      <c r="L78" s="57"/>
      <c r="M78" s="57"/>
      <c r="N78" s="57">
        <f>0.25*(E78+H78)</f>
        <v>1.04</v>
      </c>
      <c r="O78" s="57"/>
      <c r="P78" s="57"/>
      <c r="Q78" s="57"/>
      <c r="R78" s="57"/>
      <c r="S78" s="57"/>
      <c r="T78" s="57"/>
      <c r="U78" s="57"/>
      <c r="V78" s="57">
        <f>(E78+H78)*22.5%</f>
        <v>0.936</v>
      </c>
      <c r="W78" s="184">
        <f>D78*1490000*12</f>
        <v>159418080</v>
      </c>
      <c r="X78" s="57"/>
    </row>
    <row r="79" spans="1:24" s="61" customFormat="1" ht="12.75">
      <c r="A79" s="179">
        <v>2</v>
      </c>
      <c r="B79" s="180" t="s">
        <v>120</v>
      </c>
      <c r="C79" s="57"/>
      <c r="D79" s="57">
        <f>E79+F79+V79</f>
        <v>6.625</v>
      </c>
      <c r="E79" s="57">
        <v>3</v>
      </c>
      <c r="F79" s="57">
        <f>SUM(G79:U79)</f>
        <v>2.95</v>
      </c>
      <c r="G79" s="57">
        <v>0.7</v>
      </c>
      <c r="H79" s="57"/>
      <c r="I79" s="57"/>
      <c r="J79" s="57">
        <f>0.5*(E79+H79)</f>
        <v>1.5</v>
      </c>
      <c r="K79" s="57"/>
      <c r="L79" s="57"/>
      <c r="M79" s="57"/>
      <c r="N79" s="57">
        <f>0.25*(E79+H79)</f>
        <v>0.75</v>
      </c>
      <c r="O79" s="57"/>
      <c r="P79" s="57"/>
      <c r="Q79" s="57"/>
      <c r="R79" s="57"/>
      <c r="S79" s="57"/>
      <c r="T79" s="57"/>
      <c r="U79" s="57"/>
      <c r="V79" s="57">
        <f>(E79+H79)*22.5%</f>
        <v>0.675</v>
      </c>
      <c r="W79" s="184">
        <f>D79*1490000*12</f>
        <v>118455000</v>
      </c>
      <c r="X79" s="57"/>
    </row>
    <row r="80" spans="1:24" s="61" customFormat="1" ht="12.75">
      <c r="A80" s="179">
        <v>3</v>
      </c>
      <c r="B80" s="111" t="s">
        <v>119</v>
      </c>
      <c r="C80" s="57"/>
      <c r="D80" s="57">
        <f>E80+F80+V80</f>
        <v>5.3215</v>
      </c>
      <c r="E80" s="57">
        <v>2.34</v>
      </c>
      <c r="F80" s="57">
        <f>SUM(G80:U80)</f>
        <v>2.455</v>
      </c>
      <c r="G80" s="57">
        <v>0.7</v>
      </c>
      <c r="H80" s="57"/>
      <c r="I80" s="57"/>
      <c r="J80" s="57">
        <f>0.5*(E80+H80)</f>
        <v>1.17</v>
      </c>
      <c r="K80" s="57"/>
      <c r="L80" s="57"/>
      <c r="M80" s="57"/>
      <c r="N80" s="57">
        <f>0.25*(E80+H80)</f>
        <v>0.585</v>
      </c>
      <c r="O80" s="57"/>
      <c r="P80" s="57"/>
      <c r="Q80" s="57"/>
      <c r="R80" s="57"/>
      <c r="S80" s="57"/>
      <c r="T80" s="57"/>
      <c r="U80" s="57"/>
      <c r="V80" s="57">
        <f>(E80+H80)*22.5%</f>
        <v>0.5265</v>
      </c>
      <c r="W80" s="184">
        <f>D80*1490000*12</f>
        <v>95148420.00000001</v>
      </c>
      <c r="X80" s="57"/>
    </row>
    <row r="81" spans="1:24" s="61" customFormat="1" ht="12.75">
      <c r="A81" s="179">
        <v>4</v>
      </c>
      <c r="B81" s="111" t="s">
        <v>260</v>
      </c>
      <c r="C81" s="57"/>
      <c r="D81" s="234">
        <f>E81+V81</f>
        <v>2.8665</v>
      </c>
      <c r="E81" s="57">
        <v>2.34</v>
      </c>
      <c r="F81" s="57"/>
      <c r="G81" s="57"/>
      <c r="H81" s="57"/>
      <c r="I81" s="57"/>
      <c r="J81" s="57"/>
      <c r="K81" s="57"/>
      <c r="L81" s="57"/>
      <c r="M81" s="57"/>
      <c r="N81" s="57"/>
      <c r="O81" s="57"/>
      <c r="P81" s="57"/>
      <c r="Q81" s="57"/>
      <c r="R81" s="57"/>
      <c r="S81" s="57"/>
      <c r="T81" s="57"/>
      <c r="U81" s="57"/>
      <c r="V81" s="57">
        <f>(E81+H81)*22.5%</f>
        <v>0.5265</v>
      </c>
      <c r="W81" s="184">
        <f>D81*1490000*12</f>
        <v>51253020</v>
      </c>
      <c r="X81" s="57"/>
    </row>
    <row r="82" spans="1:24" s="60" customFormat="1" ht="12.75">
      <c r="A82" s="142" t="s">
        <v>261</v>
      </c>
      <c r="B82" s="109" t="s">
        <v>262</v>
      </c>
      <c r="C82" s="143"/>
      <c r="D82" s="143">
        <f>SUM(D83:D85)</f>
        <v>15.8005</v>
      </c>
      <c r="E82" s="143">
        <f aca="true" t="shared" si="35" ref="E82:W82">SUM(E83:E85)</f>
        <v>7.68</v>
      </c>
      <c r="F82" s="143">
        <f t="shared" si="35"/>
        <v>6.28</v>
      </c>
      <c r="G82" s="143">
        <f t="shared" si="35"/>
        <v>1.4</v>
      </c>
      <c r="H82" s="143">
        <f t="shared" si="35"/>
        <v>0.5</v>
      </c>
      <c r="I82" s="143">
        <f t="shared" si="35"/>
        <v>0</v>
      </c>
      <c r="J82" s="143">
        <f t="shared" si="35"/>
        <v>2.92</v>
      </c>
      <c r="K82" s="143">
        <f t="shared" si="35"/>
        <v>0</v>
      </c>
      <c r="L82" s="143">
        <f t="shared" si="35"/>
        <v>0</v>
      </c>
      <c r="M82" s="143">
        <f t="shared" si="35"/>
        <v>0</v>
      </c>
      <c r="N82" s="143">
        <f t="shared" si="35"/>
        <v>1.46</v>
      </c>
      <c r="O82" s="143">
        <f t="shared" si="35"/>
        <v>0</v>
      </c>
      <c r="P82" s="143">
        <f t="shared" si="35"/>
        <v>0</v>
      </c>
      <c r="Q82" s="143">
        <f t="shared" si="35"/>
        <v>0</v>
      </c>
      <c r="R82" s="143">
        <f t="shared" si="35"/>
        <v>0</v>
      </c>
      <c r="S82" s="143">
        <f t="shared" si="35"/>
        <v>0</v>
      </c>
      <c r="T82" s="143">
        <f t="shared" si="35"/>
        <v>0</v>
      </c>
      <c r="U82" s="143">
        <f t="shared" si="35"/>
        <v>0</v>
      </c>
      <c r="V82" s="143">
        <f t="shared" si="35"/>
        <v>1.8405</v>
      </c>
      <c r="W82" s="143">
        <f t="shared" si="35"/>
        <v>168060080</v>
      </c>
      <c r="X82" s="143"/>
    </row>
    <row r="83" spans="1:24" s="61" customFormat="1" ht="12.75">
      <c r="A83" s="179">
        <v>1</v>
      </c>
      <c r="B83" s="185" t="s">
        <v>116</v>
      </c>
      <c r="C83" s="57"/>
      <c r="D83" s="57">
        <f>E83+F83+V83</f>
        <v>6.36825</v>
      </c>
      <c r="E83" s="57">
        <v>2.67</v>
      </c>
      <c r="F83" s="57">
        <f>SUM(G83:U83)</f>
        <v>3.0525</v>
      </c>
      <c r="G83" s="57">
        <v>0.7</v>
      </c>
      <c r="H83" s="57">
        <v>0.2</v>
      </c>
      <c r="I83" s="57"/>
      <c r="J83" s="57">
        <f>0.5*(E83+H83)</f>
        <v>1.435</v>
      </c>
      <c r="K83" s="57"/>
      <c r="L83" s="57"/>
      <c r="M83" s="57"/>
      <c r="N83" s="57">
        <f>0.25*(E83+H83)</f>
        <v>0.7175</v>
      </c>
      <c r="O83" s="57"/>
      <c r="P83" s="57"/>
      <c r="Q83" s="57"/>
      <c r="R83" s="57"/>
      <c r="S83" s="57"/>
      <c r="T83" s="57"/>
      <c r="U83" s="57"/>
      <c r="V83" s="57">
        <f>(E83+H83)*22.5%</f>
        <v>0.64575</v>
      </c>
      <c r="W83" s="181">
        <f>D83*1490000*2</f>
        <v>18977385</v>
      </c>
      <c r="X83" s="57" t="s">
        <v>257</v>
      </c>
    </row>
    <row r="84" spans="1:24" s="61" customFormat="1" ht="12.75">
      <c r="A84" s="179"/>
      <c r="B84" s="185" t="s">
        <v>116</v>
      </c>
      <c r="C84" s="57"/>
      <c r="D84" s="57">
        <f>E84+F84+V84</f>
        <v>6.5657499999999995</v>
      </c>
      <c r="E84" s="57">
        <v>2.67</v>
      </c>
      <c r="F84" s="57">
        <f>SUM(G84:U84)</f>
        <v>3.2275</v>
      </c>
      <c r="G84" s="57">
        <v>0.7</v>
      </c>
      <c r="H84" s="57">
        <v>0.3</v>
      </c>
      <c r="I84" s="57"/>
      <c r="J84" s="57">
        <f>0.5*(E84+H84)</f>
        <v>1.4849999999999999</v>
      </c>
      <c r="K84" s="57"/>
      <c r="L84" s="57"/>
      <c r="M84" s="57"/>
      <c r="N84" s="57">
        <f>0.25*(E84+H84)</f>
        <v>0.7424999999999999</v>
      </c>
      <c r="O84" s="57"/>
      <c r="P84" s="57"/>
      <c r="Q84" s="57"/>
      <c r="R84" s="57"/>
      <c r="S84" s="57"/>
      <c r="T84" s="57"/>
      <c r="U84" s="57"/>
      <c r="V84" s="57">
        <f>(E84+H84)*22.5%</f>
        <v>0.66825</v>
      </c>
      <c r="W84" s="181">
        <f>D84*1490000*10</f>
        <v>97829675</v>
      </c>
      <c r="X84" s="57" t="s">
        <v>263</v>
      </c>
    </row>
    <row r="85" spans="1:24" s="61" customFormat="1" ht="12.75">
      <c r="A85" s="179">
        <v>2</v>
      </c>
      <c r="B85" s="62" t="s">
        <v>277</v>
      </c>
      <c r="C85" s="57"/>
      <c r="D85" s="57">
        <f>E85+F85+V85</f>
        <v>2.8665</v>
      </c>
      <c r="E85" s="57">
        <v>2.34</v>
      </c>
      <c r="F85" s="57"/>
      <c r="G85" s="57"/>
      <c r="H85" s="57"/>
      <c r="I85" s="57"/>
      <c r="J85" s="57"/>
      <c r="K85" s="57"/>
      <c r="L85" s="57"/>
      <c r="M85" s="57"/>
      <c r="N85" s="57"/>
      <c r="O85" s="57"/>
      <c r="P85" s="57"/>
      <c r="Q85" s="57"/>
      <c r="R85" s="57"/>
      <c r="S85" s="57"/>
      <c r="T85" s="57"/>
      <c r="U85" s="57"/>
      <c r="V85" s="57">
        <f>(E85+H85)*22.5%</f>
        <v>0.5265</v>
      </c>
      <c r="W85" s="181">
        <f>D85*1490000*12</f>
        <v>51253020</v>
      </c>
      <c r="X85" s="57" t="s">
        <v>257</v>
      </c>
    </row>
    <row r="86" spans="1:24" s="60" customFormat="1" ht="12.75">
      <c r="A86" s="142" t="s">
        <v>264</v>
      </c>
      <c r="B86" s="109" t="s">
        <v>265</v>
      </c>
      <c r="C86" s="143"/>
      <c r="D86" s="143">
        <f>SUM(D87:D91)</f>
        <v>39.859750000000005</v>
      </c>
      <c r="E86" s="143">
        <f aca="true" t="shared" si="36" ref="E86:W86">SUM(E87:E91)</f>
        <v>17.71</v>
      </c>
      <c r="F86" s="143">
        <f t="shared" si="36"/>
        <v>18.0075</v>
      </c>
      <c r="G86" s="143">
        <f t="shared" si="36"/>
        <v>3.5</v>
      </c>
      <c r="H86" s="143">
        <f t="shared" si="36"/>
        <v>0.7</v>
      </c>
      <c r="I86" s="143">
        <f t="shared" si="36"/>
        <v>0</v>
      </c>
      <c r="J86" s="143">
        <f t="shared" si="36"/>
        <v>9.205000000000002</v>
      </c>
      <c r="K86" s="143">
        <f t="shared" si="36"/>
        <v>0</v>
      </c>
      <c r="L86" s="143">
        <f t="shared" si="36"/>
        <v>0</v>
      </c>
      <c r="M86" s="143">
        <f t="shared" si="36"/>
        <v>0</v>
      </c>
      <c r="N86" s="143">
        <f t="shared" si="36"/>
        <v>4.602500000000001</v>
      </c>
      <c r="O86" s="143">
        <f t="shared" si="36"/>
        <v>0</v>
      </c>
      <c r="P86" s="143">
        <f t="shared" si="36"/>
        <v>0</v>
      </c>
      <c r="Q86" s="143">
        <f t="shared" si="36"/>
        <v>0</v>
      </c>
      <c r="R86" s="143">
        <f t="shared" si="36"/>
        <v>0</v>
      </c>
      <c r="S86" s="143">
        <f t="shared" si="36"/>
        <v>0</v>
      </c>
      <c r="T86" s="143">
        <f t="shared" si="36"/>
        <v>0</v>
      </c>
      <c r="U86" s="143">
        <f t="shared" si="36"/>
        <v>0</v>
      </c>
      <c r="V86" s="143">
        <f t="shared" si="36"/>
        <v>4.142250000000001</v>
      </c>
      <c r="W86" s="143">
        <f t="shared" si="36"/>
        <v>712692330</v>
      </c>
      <c r="X86" s="143"/>
    </row>
    <row r="87" spans="1:24" s="60" customFormat="1" ht="32.25" customHeight="1">
      <c r="A87" s="186">
        <v>1</v>
      </c>
      <c r="B87" s="113" t="s">
        <v>24</v>
      </c>
      <c r="C87" s="187"/>
      <c r="D87" s="188">
        <f>E87+F87+V87</f>
        <v>8.521</v>
      </c>
      <c r="E87" s="114">
        <f>3.66</f>
        <v>3.66</v>
      </c>
      <c r="F87" s="188">
        <f>SUM(G87:T87)</f>
        <v>3.9699999999999998</v>
      </c>
      <c r="G87" s="114">
        <v>0.7</v>
      </c>
      <c r="H87" s="114">
        <v>0.3</v>
      </c>
      <c r="I87" s="187"/>
      <c r="J87" s="115">
        <f>(E87+H87)*0.5</f>
        <v>1.98</v>
      </c>
      <c r="K87" s="187"/>
      <c r="L87" s="187"/>
      <c r="M87" s="187"/>
      <c r="N87" s="116">
        <f>0.25*(E87+H87)</f>
        <v>0.99</v>
      </c>
      <c r="O87" s="187"/>
      <c r="P87" s="187"/>
      <c r="Q87" s="187"/>
      <c r="R87" s="187"/>
      <c r="S87" s="187"/>
      <c r="T87" s="187"/>
      <c r="U87" s="187"/>
      <c r="V87" s="188">
        <f>(E87+H87)*22.5%</f>
        <v>0.891</v>
      </c>
      <c r="W87" s="117">
        <f>D87*12*1490000</f>
        <v>152355480</v>
      </c>
      <c r="X87" s="187"/>
    </row>
    <row r="88" spans="1:24" s="60" customFormat="1" ht="32.25" customHeight="1">
      <c r="A88" s="186">
        <v>2</v>
      </c>
      <c r="B88" s="113" t="s">
        <v>127</v>
      </c>
      <c r="C88" s="187"/>
      <c r="D88" s="188">
        <f>E88+F88+V88</f>
        <v>8.97525</v>
      </c>
      <c r="E88" s="114">
        <f>3.99</f>
        <v>3.99</v>
      </c>
      <c r="F88" s="188">
        <f>SUM(G88:T88)</f>
        <v>4.0425</v>
      </c>
      <c r="G88" s="114">
        <v>0.7</v>
      </c>
      <c r="H88" s="114">
        <v>0.2</v>
      </c>
      <c r="I88" s="187"/>
      <c r="J88" s="115">
        <f>(E88+H88)*0.5</f>
        <v>2.095</v>
      </c>
      <c r="K88" s="187"/>
      <c r="L88" s="187"/>
      <c r="M88" s="187"/>
      <c r="N88" s="116">
        <f>0.25*(E88+H88)</f>
        <v>1.0475</v>
      </c>
      <c r="O88" s="187"/>
      <c r="P88" s="187"/>
      <c r="Q88" s="187"/>
      <c r="R88" s="187"/>
      <c r="S88" s="187"/>
      <c r="T88" s="187"/>
      <c r="U88" s="187"/>
      <c r="V88" s="188">
        <f>(E88+H88)*22.5%</f>
        <v>0.9427500000000001</v>
      </c>
      <c r="W88" s="117">
        <f>D88*12*1490000</f>
        <v>160477470</v>
      </c>
      <c r="X88" s="187"/>
    </row>
    <row r="89" spans="1:24" s="60" customFormat="1" ht="32.25" customHeight="1">
      <c r="A89" s="186">
        <v>3</v>
      </c>
      <c r="B89" s="113" t="s">
        <v>126</v>
      </c>
      <c r="C89" s="187"/>
      <c r="D89" s="188">
        <f>E89+F89+V89</f>
        <v>9.626999999999999</v>
      </c>
      <c r="E89" s="114">
        <f>4.32</f>
        <v>4.32</v>
      </c>
      <c r="F89" s="188">
        <f>SUM(G89:T89)</f>
        <v>4.29</v>
      </c>
      <c r="G89" s="114">
        <v>0.7</v>
      </c>
      <c r="H89" s="114">
        <v>0.2</v>
      </c>
      <c r="I89" s="187"/>
      <c r="J89" s="115">
        <f>(E89+H89)*0.5</f>
        <v>2.2600000000000002</v>
      </c>
      <c r="K89" s="187"/>
      <c r="L89" s="187"/>
      <c r="M89" s="187"/>
      <c r="N89" s="116">
        <f>0.25*(E89+H89)</f>
        <v>1.1300000000000001</v>
      </c>
      <c r="O89" s="187"/>
      <c r="P89" s="187"/>
      <c r="Q89" s="187"/>
      <c r="R89" s="187"/>
      <c r="S89" s="187"/>
      <c r="T89" s="187"/>
      <c r="U89" s="187"/>
      <c r="V89" s="188">
        <f>(E89+H89)*22.5%</f>
        <v>1.0170000000000001</v>
      </c>
      <c r="W89" s="117">
        <f>D89*12*1490000</f>
        <v>172130759.99999997</v>
      </c>
      <c r="X89" s="187"/>
    </row>
    <row r="90" spans="1:24" s="61" customFormat="1" ht="32.25" customHeight="1">
      <c r="A90" s="186">
        <v>4</v>
      </c>
      <c r="B90" s="113" t="s">
        <v>125</v>
      </c>
      <c r="C90" s="188"/>
      <c r="D90" s="188">
        <f>E90+F90+V90</f>
        <v>5.4597500000000005</v>
      </c>
      <c r="E90" s="114">
        <v>2.41</v>
      </c>
      <c r="F90" s="188">
        <f>SUM(G90:T90)</f>
        <v>2.5075000000000003</v>
      </c>
      <c r="G90" s="114">
        <v>0.7</v>
      </c>
      <c r="H90" s="188"/>
      <c r="I90" s="188"/>
      <c r="J90" s="115">
        <f>(E90+H90)*0.5</f>
        <v>1.205</v>
      </c>
      <c r="K90" s="188"/>
      <c r="L90" s="188"/>
      <c r="M90" s="188"/>
      <c r="N90" s="116">
        <f>0.25*(E90+H90)</f>
        <v>0.6025</v>
      </c>
      <c r="O90" s="188"/>
      <c r="P90" s="188"/>
      <c r="Q90" s="188"/>
      <c r="R90" s="188"/>
      <c r="S90" s="188"/>
      <c r="T90" s="188"/>
      <c r="U90" s="188"/>
      <c r="V90" s="188">
        <f>(E90+H90)*22.5%</f>
        <v>0.54225</v>
      </c>
      <c r="W90" s="117">
        <f>D90*12*1490000</f>
        <v>97620330.00000001</v>
      </c>
      <c r="X90" s="188"/>
    </row>
    <row r="91" spans="1:24" s="118" customFormat="1" ht="32.25" customHeight="1">
      <c r="A91" s="186">
        <v>5</v>
      </c>
      <c r="B91" s="113" t="s">
        <v>124</v>
      </c>
      <c r="C91" s="189"/>
      <c r="D91" s="188">
        <f>E91+F91+V91</f>
        <v>7.27675</v>
      </c>
      <c r="E91" s="114">
        <v>3.33</v>
      </c>
      <c r="F91" s="188">
        <f>SUM(G91:T91)</f>
        <v>3.1975000000000002</v>
      </c>
      <c r="G91" s="114">
        <v>0.7</v>
      </c>
      <c r="H91" s="189"/>
      <c r="I91" s="189"/>
      <c r="J91" s="115">
        <f>(E91+H91)*0.5</f>
        <v>1.665</v>
      </c>
      <c r="K91" s="189"/>
      <c r="L91" s="189"/>
      <c r="M91" s="189"/>
      <c r="N91" s="116">
        <f>0.25*(E91+H91)</f>
        <v>0.8325</v>
      </c>
      <c r="O91" s="189"/>
      <c r="P91" s="189"/>
      <c r="Q91" s="189"/>
      <c r="R91" s="189"/>
      <c r="S91" s="189"/>
      <c r="T91" s="189"/>
      <c r="U91" s="189"/>
      <c r="V91" s="188">
        <f>(E91+H91)*22.5%</f>
        <v>0.7492500000000001</v>
      </c>
      <c r="W91" s="117">
        <f>D91*12*1490000</f>
        <v>130108290</v>
      </c>
      <c r="X91" s="189"/>
    </row>
    <row r="92" spans="1:24" s="60" customFormat="1" ht="20.25" customHeight="1">
      <c r="A92" s="142">
        <v>5</v>
      </c>
      <c r="B92" s="235" t="s">
        <v>114</v>
      </c>
      <c r="C92" s="143"/>
      <c r="D92" s="143">
        <f aca="true" t="shared" si="37" ref="D92:W92">D93+D138+D144+D147+D151+D153</f>
        <v>452.7436024999999</v>
      </c>
      <c r="E92" s="143">
        <f t="shared" si="37"/>
        <v>173.39000000000001</v>
      </c>
      <c r="F92" s="143">
        <f t="shared" si="37"/>
        <v>268.10135249999996</v>
      </c>
      <c r="G92" s="143">
        <f t="shared" si="37"/>
        <v>34.99999999999998</v>
      </c>
      <c r="H92" s="143">
        <f t="shared" si="37"/>
        <v>9.050000000000002</v>
      </c>
      <c r="I92" s="143">
        <f t="shared" si="37"/>
        <v>0</v>
      </c>
      <c r="J92" s="143">
        <f t="shared" si="37"/>
        <v>87.71000000000002</v>
      </c>
      <c r="K92" s="143">
        <f t="shared" si="37"/>
        <v>0</v>
      </c>
      <c r="L92" s="143">
        <f t="shared" si="37"/>
        <v>1.0209000000000001</v>
      </c>
      <c r="M92" s="143">
        <f t="shared" si="37"/>
        <v>0</v>
      </c>
      <c r="N92" s="143">
        <f t="shared" si="37"/>
        <v>43.85500000000001</v>
      </c>
      <c r="O92" s="143">
        <f t="shared" si="37"/>
        <v>0</v>
      </c>
      <c r="P92" s="143">
        <f t="shared" si="37"/>
        <v>0</v>
      </c>
      <c r="Q92" s="143">
        <f t="shared" si="37"/>
        <v>0</v>
      </c>
      <c r="R92" s="143">
        <f t="shared" si="37"/>
        <v>0</v>
      </c>
      <c r="S92" s="143">
        <f t="shared" si="37"/>
        <v>58.32600000000001</v>
      </c>
      <c r="T92" s="143">
        <f t="shared" si="37"/>
        <v>2.4030000000000005</v>
      </c>
      <c r="U92" s="143">
        <f t="shared" si="37"/>
        <v>0.71</v>
      </c>
      <c r="V92" s="143">
        <f t="shared" si="37"/>
        <v>41.27870250000001</v>
      </c>
      <c r="W92" s="143">
        <f t="shared" si="37"/>
        <v>6458267517.95</v>
      </c>
      <c r="X92" s="143"/>
    </row>
    <row r="93" spans="1:24" s="60" customFormat="1" ht="12.75">
      <c r="A93" s="142" t="s">
        <v>285</v>
      </c>
      <c r="B93" s="178" t="s">
        <v>112</v>
      </c>
      <c r="C93" s="143"/>
      <c r="D93" s="143">
        <f>D94+D133</f>
        <v>336.07885249999987</v>
      </c>
      <c r="E93" s="143">
        <f aca="true" t="shared" si="38" ref="E93:V93">E94+E133</f>
        <v>126.23000000000002</v>
      </c>
      <c r="F93" s="143">
        <f t="shared" si="38"/>
        <v>209.8488525</v>
      </c>
      <c r="G93" s="143">
        <f t="shared" si="38"/>
        <v>26.599999999999984</v>
      </c>
      <c r="H93" s="143">
        <f t="shared" si="38"/>
        <v>6.200000000000001</v>
      </c>
      <c r="I93" s="143">
        <f t="shared" si="38"/>
        <v>0</v>
      </c>
      <c r="J93" s="143">
        <f t="shared" si="38"/>
        <v>66.21500000000002</v>
      </c>
      <c r="K93" s="143">
        <f t="shared" si="38"/>
        <v>0</v>
      </c>
      <c r="L93" s="143">
        <f t="shared" si="38"/>
        <v>1.0209000000000001</v>
      </c>
      <c r="M93" s="143">
        <f t="shared" si="38"/>
        <v>0</v>
      </c>
      <c r="N93" s="143">
        <f t="shared" si="38"/>
        <v>33.10750000000001</v>
      </c>
      <c r="O93" s="143">
        <f t="shared" si="38"/>
        <v>0</v>
      </c>
      <c r="P93" s="143">
        <f t="shared" si="38"/>
        <v>0</v>
      </c>
      <c r="Q93" s="143">
        <f t="shared" si="38"/>
        <v>0</v>
      </c>
      <c r="R93" s="143">
        <f t="shared" si="38"/>
        <v>0</v>
      </c>
      <c r="S93" s="143">
        <f t="shared" si="38"/>
        <v>45.429</v>
      </c>
      <c r="T93" s="143">
        <f t="shared" si="38"/>
        <v>1</v>
      </c>
      <c r="U93" s="143">
        <f t="shared" si="38"/>
        <v>0.25</v>
      </c>
      <c r="V93" s="143">
        <f t="shared" si="38"/>
        <v>30.026452500000005</v>
      </c>
      <c r="W93" s="143">
        <f>W94+W133</f>
        <v>4782907420.45</v>
      </c>
      <c r="X93" s="143"/>
    </row>
    <row r="94" spans="1:24" s="63" customFormat="1" ht="16.5" customHeight="1">
      <c r="A94" s="463"/>
      <c r="B94" s="464" t="s">
        <v>75</v>
      </c>
      <c r="C94" s="465"/>
      <c r="D94" s="55">
        <f>SUM(D95:D132)</f>
        <v>336.07885249999987</v>
      </c>
      <c r="E94" s="55">
        <f aca="true" t="shared" si="39" ref="E94:V94">SUM(E95:E132)</f>
        <v>126.23000000000002</v>
      </c>
      <c r="F94" s="55">
        <f t="shared" si="39"/>
        <v>209.8488525</v>
      </c>
      <c r="G94" s="55">
        <f t="shared" si="39"/>
        <v>26.599999999999984</v>
      </c>
      <c r="H94" s="55">
        <f t="shared" si="39"/>
        <v>6.200000000000001</v>
      </c>
      <c r="I94" s="55">
        <f t="shared" si="39"/>
        <v>0</v>
      </c>
      <c r="J94" s="55">
        <f t="shared" si="39"/>
        <v>66.21500000000002</v>
      </c>
      <c r="K94" s="55">
        <f t="shared" si="39"/>
        <v>0</v>
      </c>
      <c r="L94" s="55">
        <f t="shared" si="39"/>
        <v>1.0209000000000001</v>
      </c>
      <c r="M94" s="55">
        <f t="shared" si="39"/>
        <v>0</v>
      </c>
      <c r="N94" s="55">
        <f t="shared" si="39"/>
        <v>33.10750000000001</v>
      </c>
      <c r="O94" s="55">
        <f t="shared" si="39"/>
        <v>0</v>
      </c>
      <c r="P94" s="55">
        <f t="shared" si="39"/>
        <v>0</v>
      </c>
      <c r="Q94" s="55">
        <f t="shared" si="39"/>
        <v>0</v>
      </c>
      <c r="R94" s="55">
        <f t="shared" si="39"/>
        <v>0</v>
      </c>
      <c r="S94" s="55">
        <f t="shared" si="39"/>
        <v>45.429</v>
      </c>
      <c r="T94" s="55">
        <f t="shared" si="39"/>
        <v>1</v>
      </c>
      <c r="U94" s="55">
        <f t="shared" si="39"/>
        <v>0.25</v>
      </c>
      <c r="V94" s="55">
        <f t="shared" si="39"/>
        <v>30.026452500000005</v>
      </c>
      <c r="W94" s="55">
        <f>SUM(W95:W132)</f>
        <v>4366465420.45</v>
      </c>
      <c r="X94" s="55"/>
    </row>
    <row r="95" spans="1:24" s="63" customFormat="1" ht="16.5" customHeight="1">
      <c r="A95" s="463">
        <v>1</v>
      </c>
      <c r="B95" s="466" t="s">
        <v>111</v>
      </c>
      <c r="C95" s="467"/>
      <c r="D95" s="56">
        <f>E95+F95</f>
        <v>13.453499999999998</v>
      </c>
      <c r="E95" s="56">
        <v>4.74</v>
      </c>
      <c r="F95" s="56">
        <f>SUM(G95:V95)</f>
        <v>8.713499999999998</v>
      </c>
      <c r="G95" s="56">
        <v>0.7</v>
      </c>
      <c r="H95" s="56">
        <v>0.8</v>
      </c>
      <c r="I95" s="56"/>
      <c r="J95" s="56">
        <f>(E95+H95)*50%</f>
        <v>2.77</v>
      </c>
      <c r="K95" s="56"/>
      <c r="L95" s="56"/>
      <c r="M95" s="56"/>
      <c r="N95" s="56">
        <f>(E95+H95)*0.25</f>
        <v>1.385</v>
      </c>
      <c r="O95" s="56"/>
      <c r="P95" s="56"/>
      <c r="Q95" s="56"/>
      <c r="R95" s="56"/>
      <c r="S95" s="56">
        <f>(E95+H95)*0.3+0.15</f>
        <v>1.8119999999999998</v>
      </c>
      <c r="T95" s="56"/>
      <c r="U95" s="56"/>
      <c r="V95" s="56">
        <f>(E95+H95)*22.5%</f>
        <v>1.2465</v>
      </c>
      <c r="W95" s="468">
        <f>D95*1490000*12</f>
        <v>240548579.99999994</v>
      </c>
      <c r="X95" s="56"/>
    </row>
    <row r="96" spans="1:24" s="63" customFormat="1" ht="16.5" customHeight="1">
      <c r="A96" s="463">
        <v>2</v>
      </c>
      <c r="B96" s="466" t="s">
        <v>36</v>
      </c>
      <c r="C96" s="467"/>
      <c r="D96" s="56">
        <f aca="true" t="shared" si="40" ref="D96:D132">E96+F96</f>
        <v>10.01825</v>
      </c>
      <c r="E96" s="56">
        <v>3.33</v>
      </c>
      <c r="F96" s="56">
        <f>SUM(G96:V96)</f>
        <v>6.68825</v>
      </c>
      <c r="G96" s="56">
        <v>0.7</v>
      </c>
      <c r="H96" s="56">
        <v>0.7</v>
      </c>
      <c r="I96" s="56"/>
      <c r="J96" s="56">
        <f aca="true" t="shared" si="41" ref="J96:J137">(E96+H96)*50%</f>
        <v>2.015</v>
      </c>
      <c r="K96" s="56"/>
      <c r="L96" s="56"/>
      <c r="M96" s="56"/>
      <c r="N96" s="56">
        <f aca="true" t="shared" si="42" ref="N96:N137">(E96+H96)*0.25</f>
        <v>1.0075</v>
      </c>
      <c r="O96" s="56"/>
      <c r="P96" s="56"/>
      <c r="Q96" s="56"/>
      <c r="R96" s="56"/>
      <c r="S96" s="56">
        <f>(E96+H96)*0.3+0.15</f>
        <v>1.359</v>
      </c>
      <c r="T96" s="56"/>
      <c r="U96" s="56"/>
      <c r="V96" s="56">
        <f aca="true" t="shared" si="43" ref="V96:V137">(E96+H96)*22.5%</f>
        <v>0.9067500000000001</v>
      </c>
      <c r="W96" s="468">
        <f>D96*1490000*12</f>
        <v>179126310</v>
      </c>
      <c r="X96" s="56"/>
    </row>
    <row r="97" spans="1:24" s="63" customFormat="1" ht="16.5" customHeight="1">
      <c r="A97" s="463">
        <v>3</v>
      </c>
      <c r="B97" s="469" t="s">
        <v>39</v>
      </c>
      <c r="C97" s="467"/>
      <c r="D97" s="56">
        <f t="shared" si="40"/>
        <v>16.02019</v>
      </c>
      <c r="E97" s="56">
        <v>5.76</v>
      </c>
      <c r="F97" s="56">
        <f>SUM(G97:V97)</f>
        <v>10.260189999999998</v>
      </c>
      <c r="G97" s="56">
        <v>0.7</v>
      </c>
      <c r="H97" s="56">
        <v>0.6</v>
      </c>
      <c r="I97" s="56"/>
      <c r="J97" s="56">
        <f t="shared" si="41"/>
        <v>3.1799999999999997</v>
      </c>
      <c r="K97" s="56"/>
      <c r="L97" s="56">
        <f>(E97+H97)*9%</f>
        <v>0.5723999999999999</v>
      </c>
      <c r="M97" s="56"/>
      <c r="N97" s="56">
        <f t="shared" si="42"/>
        <v>1.5899999999999999</v>
      </c>
      <c r="O97" s="56"/>
      <c r="P97" s="56"/>
      <c r="Q97" s="56"/>
      <c r="R97" s="56"/>
      <c r="S97" s="56">
        <f aca="true" t="shared" si="44" ref="S97:S132">(E97+H97)*0.3+0.15</f>
        <v>2.058</v>
      </c>
      <c r="T97" s="56"/>
      <c r="U97" s="56"/>
      <c r="V97" s="56">
        <f>(E97+H97+L97)*22.5%</f>
        <v>1.55979</v>
      </c>
      <c r="W97" s="468">
        <f>D97*1490000*12</f>
        <v>286440997.2</v>
      </c>
      <c r="X97" s="56"/>
    </row>
    <row r="98" spans="1:24" s="63" customFormat="1" ht="16.5" customHeight="1">
      <c r="A98" s="463">
        <v>4</v>
      </c>
      <c r="B98" s="469" t="s">
        <v>19</v>
      </c>
      <c r="C98" s="467"/>
      <c r="D98" s="56">
        <f t="shared" si="40"/>
        <v>11.42875</v>
      </c>
      <c r="E98" s="56">
        <v>4.4</v>
      </c>
      <c r="F98" s="56">
        <f>SUM(G98:V98)</f>
        <v>7.0287500000000005</v>
      </c>
      <c r="G98" s="56">
        <v>0.7</v>
      </c>
      <c r="H98" s="56">
        <v>0.25</v>
      </c>
      <c r="I98" s="56"/>
      <c r="J98" s="56">
        <f t="shared" si="41"/>
        <v>2.325</v>
      </c>
      <c r="K98" s="56"/>
      <c r="L98" s="56"/>
      <c r="M98" s="56"/>
      <c r="N98" s="56">
        <f t="shared" si="42"/>
        <v>1.1625</v>
      </c>
      <c r="O98" s="56"/>
      <c r="P98" s="56"/>
      <c r="Q98" s="56"/>
      <c r="R98" s="56"/>
      <c r="S98" s="56">
        <f t="shared" si="44"/>
        <v>1.545</v>
      </c>
      <c r="T98" s="56"/>
      <c r="U98" s="56"/>
      <c r="V98" s="56">
        <f t="shared" si="43"/>
        <v>1.0462500000000001</v>
      </c>
      <c r="W98" s="468">
        <f>D98*1490000*12</f>
        <v>204346050</v>
      </c>
      <c r="X98" s="56"/>
    </row>
    <row r="99" spans="1:24" s="63" customFormat="1" ht="16.5" customHeight="1">
      <c r="A99" s="816">
        <v>5</v>
      </c>
      <c r="B99" s="823" t="s">
        <v>109</v>
      </c>
      <c r="C99" s="467"/>
      <c r="D99" s="56">
        <f t="shared" si="40"/>
        <v>5.6274999999999995</v>
      </c>
      <c r="E99" s="56">
        <v>2.1</v>
      </c>
      <c r="F99" s="56">
        <f aca="true" t="shared" si="45" ref="F99:F132">SUM(G99:V99)</f>
        <v>3.5275</v>
      </c>
      <c r="G99" s="56">
        <v>0.7</v>
      </c>
      <c r="H99" s="56"/>
      <c r="I99" s="56"/>
      <c r="J99" s="56">
        <f t="shared" si="41"/>
        <v>1.05</v>
      </c>
      <c r="K99" s="56"/>
      <c r="L99" s="56"/>
      <c r="M99" s="56"/>
      <c r="N99" s="56">
        <f>(E99+H99)*0.25</f>
        <v>0.525</v>
      </c>
      <c r="O99" s="56"/>
      <c r="P99" s="56"/>
      <c r="Q99" s="56"/>
      <c r="R99" s="56"/>
      <c r="S99" s="56">
        <f t="shared" si="44"/>
        <v>0.78</v>
      </c>
      <c r="T99" s="56"/>
      <c r="U99" s="56"/>
      <c r="V99" s="56">
        <f t="shared" si="43"/>
        <v>0.47250000000000003</v>
      </c>
      <c r="W99" s="468">
        <f>D99*1490000*9</f>
        <v>75464774.99999999</v>
      </c>
      <c r="X99" s="56" t="s">
        <v>292</v>
      </c>
    </row>
    <row r="100" spans="1:24" s="471" customFormat="1" ht="25.5">
      <c r="A100" s="818"/>
      <c r="B100" s="824"/>
      <c r="C100" s="467"/>
      <c r="D100" s="56">
        <f t="shared" si="40"/>
        <v>6.332750000000001</v>
      </c>
      <c r="E100" s="56">
        <v>2.41</v>
      </c>
      <c r="F100" s="56">
        <f t="shared" si="45"/>
        <v>3.9227500000000006</v>
      </c>
      <c r="G100" s="56">
        <v>0.7</v>
      </c>
      <c r="H100" s="56"/>
      <c r="I100" s="56"/>
      <c r="J100" s="56">
        <f t="shared" si="41"/>
        <v>1.205</v>
      </c>
      <c r="K100" s="56"/>
      <c r="L100" s="56"/>
      <c r="M100" s="56"/>
      <c r="N100" s="56">
        <f t="shared" si="42"/>
        <v>0.6025</v>
      </c>
      <c r="O100" s="56"/>
      <c r="P100" s="56"/>
      <c r="Q100" s="56"/>
      <c r="R100" s="56"/>
      <c r="S100" s="56">
        <f t="shared" si="44"/>
        <v>0.873</v>
      </c>
      <c r="T100" s="56"/>
      <c r="U100" s="56"/>
      <c r="V100" s="56">
        <f t="shared" si="43"/>
        <v>0.54225</v>
      </c>
      <c r="W100" s="86">
        <f>D100*3*1490000</f>
        <v>28307392.500000004</v>
      </c>
      <c r="X100" s="470" t="s">
        <v>293</v>
      </c>
    </row>
    <row r="101" spans="1:24" s="471" customFormat="1" ht="15" customHeight="1">
      <c r="A101" s="816">
        <v>6</v>
      </c>
      <c r="B101" s="822" t="s">
        <v>108</v>
      </c>
      <c r="C101" s="467"/>
      <c r="D101" s="56">
        <f t="shared" si="40"/>
        <v>10.678</v>
      </c>
      <c r="E101" s="56">
        <v>4.32</v>
      </c>
      <c r="F101" s="56">
        <f t="shared" si="45"/>
        <v>6.3580000000000005</v>
      </c>
      <c r="G101" s="56">
        <v>0.7</v>
      </c>
      <c r="H101" s="56"/>
      <c r="I101" s="56"/>
      <c r="J101" s="56">
        <f t="shared" si="41"/>
        <v>2.16</v>
      </c>
      <c r="K101" s="56"/>
      <c r="L101" s="56"/>
      <c r="M101" s="56"/>
      <c r="N101" s="56">
        <f t="shared" si="42"/>
        <v>1.08</v>
      </c>
      <c r="O101" s="56"/>
      <c r="P101" s="56"/>
      <c r="Q101" s="56"/>
      <c r="R101" s="56"/>
      <c r="S101" s="56">
        <f t="shared" si="44"/>
        <v>1.446</v>
      </c>
      <c r="T101" s="56"/>
      <c r="U101" s="56"/>
      <c r="V101" s="56">
        <f t="shared" si="43"/>
        <v>0.9720000000000001</v>
      </c>
      <c r="W101" s="86">
        <f>D101*1490000*2</f>
        <v>31820440.000000004</v>
      </c>
      <c r="X101" s="470" t="s">
        <v>294</v>
      </c>
    </row>
    <row r="102" spans="1:24" s="471" customFormat="1" ht="30.75" customHeight="1">
      <c r="A102" s="817"/>
      <c r="B102" s="820"/>
      <c r="C102" s="467"/>
      <c r="D102" s="56">
        <f t="shared" si="40"/>
        <v>10.9426</v>
      </c>
      <c r="E102" s="56">
        <v>4.32</v>
      </c>
      <c r="F102" s="56">
        <f t="shared" si="45"/>
        <v>6.6226</v>
      </c>
      <c r="G102" s="56">
        <v>0.7</v>
      </c>
      <c r="H102" s="56"/>
      <c r="I102" s="56"/>
      <c r="J102" s="56">
        <f t="shared" si="41"/>
        <v>2.16</v>
      </c>
      <c r="K102" s="56"/>
      <c r="L102" s="56">
        <f>E102*5%</f>
        <v>0.21600000000000003</v>
      </c>
      <c r="M102" s="56"/>
      <c r="N102" s="56">
        <f t="shared" si="42"/>
        <v>1.08</v>
      </c>
      <c r="O102" s="56"/>
      <c r="P102" s="56"/>
      <c r="Q102" s="56"/>
      <c r="R102" s="56"/>
      <c r="S102" s="56">
        <f t="shared" si="44"/>
        <v>1.446</v>
      </c>
      <c r="T102" s="56"/>
      <c r="U102" s="56"/>
      <c r="V102" s="56">
        <f>(E102+H102+L102)*22.5%</f>
        <v>1.0206000000000002</v>
      </c>
      <c r="W102" s="86">
        <f>D102*1490000*8</f>
        <v>130435792</v>
      </c>
      <c r="X102" s="470" t="s">
        <v>295</v>
      </c>
    </row>
    <row r="103" spans="1:24" s="61" customFormat="1" ht="25.5">
      <c r="A103" s="818"/>
      <c r="B103" s="821"/>
      <c r="C103" s="56"/>
      <c r="D103" s="56">
        <f t="shared" si="40"/>
        <v>11.7135625</v>
      </c>
      <c r="E103" s="56">
        <v>4.65</v>
      </c>
      <c r="F103" s="56">
        <f t="shared" si="45"/>
        <v>7.0635625</v>
      </c>
      <c r="G103" s="56">
        <v>0.7</v>
      </c>
      <c r="H103" s="56"/>
      <c r="I103" s="56"/>
      <c r="J103" s="56">
        <f>(E103+H103)*50%</f>
        <v>2.325</v>
      </c>
      <c r="K103" s="56"/>
      <c r="L103" s="56">
        <f>E103*5%</f>
        <v>0.23250000000000004</v>
      </c>
      <c r="M103" s="56"/>
      <c r="N103" s="56">
        <f>(E103+H103)*0.25</f>
        <v>1.1625</v>
      </c>
      <c r="O103" s="56"/>
      <c r="P103" s="56"/>
      <c r="Q103" s="56"/>
      <c r="R103" s="56"/>
      <c r="S103" s="56">
        <f t="shared" si="44"/>
        <v>1.545</v>
      </c>
      <c r="T103" s="56"/>
      <c r="U103" s="56"/>
      <c r="V103" s="56">
        <f>(E103+H103+L103)*22.5%</f>
        <v>1.0985625</v>
      </c>
      <c r="W103" s="86">
        <f>D103*2*1490000</f>
        <v>34906416.25</v>
      </c>
      <c r="X103" s="472" t="s">
        <v>296</v>
      </c>
    </row>
    <row r="104" spans="1:24" s="61" customFormat="1" ht="15" customHeight="1">
      <c r="A104" s="816">
        <v>7</v>
      </c>
      <c r="B104" s="822" t="s">
        <v>107</v>
      </c>
      <c r="C104" s="56"/>
      <c r="D104" s="56">
        <f t="shared" si="40"/>
        <v>6.4465</v>
      </c>
      <c r="E104" s="56">
        <v>2.46</v>
      </c>
      <c r="F104" s="56">
        <f t="shared" si="45"/>
        <v>3.9865</v>
      </c>
      <c r="G104" s="56">
        <v>0.7</v>
      </c>
      <c r="H104" s="56"/>
      <c r="I104" s="56"/>
      <c r="J104" s="56">
        <f>(E104+H104)*50%</f>
        <v>1.23</v>
      </c>
      <c r="K104" s="56"/>
      <c r="L104" s="56"/>
      <c r="M104" s="56"/>
      <c r="N104" s="56">
        <f>(E104+H104)*0.25</f>
        <v>0.615</v>
      </c>
      <c r="O104" s="56"/>
      <c r="P104" s="56"/>
      <c r="Q104" s="56"/>
      <c r="R104" s="56"/>
      <c r="S104" s="56">
        <f t="shared" si="44"/>
        <v>0.888</v>
      </c>
      <c r="T104" s="56"/>
      <c r="U104" s="56"/>
      <c r="V104" s="56">
        <f>(E104+H104+L104)*22.5%</f>
        <v>0.5535</v>
      </c>
      <c r="W104" s="86">
        <f>D104*1490000*9</f>
        <v>86447565</v>
      </c>
      <c r="X104" s="472" t="s">
        <v>292</v>
      </c>
    </row>
    <row r="105" spans="1:24" s="61" customFormat="1" ht="25.5">
      <c r="A105" s="818"/>
      <c r="B105" s="821"/>
      <c r="C105" s="56"/>
      <c r="D105" s="56">
        <f t="shared" si="40"/>
        <v>6.9015</v>
      </c>
      <c r="E105" s="56">
        <v>2.66</v>
      </c>
      <c r="F105" s="56">
        <f t="shared" si="45"/>
        <v>4.2415</v>
      </c>
      <c r="G105" s="56">
        <v>0.7</v>
      </c>
      <c r="H105" s="56"/>
      <c r="I105" s="56"/>
      <c r="J105" s="56">
        <f t="shared" si="41"/>
        <v>1.33</v>
      </c>
      <c r="K105" s="56"/>
      <c r="L105" s="56"/>
      <c r="M105" s="56"/>
      <c r="N105" s="56">
        <f t="shared" si="42"/>
        <v>0.665</v>
      </c>
      <c r="O105" s="56"/>
      <c r="P105" s="56"/>
      <c r="Q105" s="56"/>
      <c r="R105" s="56"/>
      <c r="S105" s="56">
        <f t="shared" si="44"/>
        <v>0.9480000000000001</v>
      </c>
      <c r="T105" s="56"/>
      <c r="U105" s="56"/>
      <c r="V105" s="56">
        <f t="shared" si="43"/>
        <v>0.5985</v>
      </c>
      <c r="W105" s="86">
        <f>D105*3*1490000</f>
        <v>30849705.000000004</v>
      </c>
      <c r="X105" s="470" t="s">
        <v>293</v>
      </c>
    </row>
    <row r="106" spans="1:24" s="61" customFormat="1" ht="15">
      <c r="A106" s="58">
        <v>8</v>
      </c>
      <c r="B106" s="469" t="s">
        <v>38</v>
      </c>
      <c r="C106" s="56"/>
      <c r="D106" s="56">
        <f t="shared" si="40"/>
        <v>13.772</v>
      </c>
      <c r="E106" s="56">
        <v>5.08</v>
      </c>
      <c r="F106" s="56">
        <f t="shared" si="45"/>
        <v>8.692</v>
      </c>
      <c r="G106" s="56">
        <v>0.7</v>
      </c>
      <c r="H106" s="56">
        <v>0.6</v>
      </c>
      <c r="I106" s="56"/>
      <c r="J106" s="56">
        <f t="shared" si="41"/>
        <v>2.84</v>
      </c>
      <c r="K106" s="56"/>
      <c r="L106" s="56"/>
      <c r="M106" s="56"/>
      <c r="N106" s="56">
        <f t="shared" si="42"/>
        <v>1.42</v>
      </c>
      <c r="O106" s="56"/>
      <c r="P106" s="56"/>
      <c r="Q106" s="56"/>
      <c r="R106" s="56"/>
      <c r="S106" s="56">
        <f t="shared" si="44"/>
        <v>1.8539999999999999</v>
      </c>
      <c r="T106" s="56"/>
      <c r="U106" s="56"/>
      <c r="V106" s="56">
        <f t="shared" si="43"/>
        <v>1.278</v>
      </c>
      <c r="W106" s="86">
        <f aca="true" t="shared" si="46" ref="W106:W112">D106*1490000*12</f>
        <v>246243360</v>
      </c>
      <c r="X106" s="470"/>
    </row>
    <row r="107" spans="1:24" s="61" customFormat="1" ht="15">
      <c r="A107" s="58">
        <v>9</v>
      </c>
      <c r="B107" s="469" t="s">
        <v>105</v>
      </c>
      <c r="C107" s="56"/>
      <c r="D107" s="56">
        <f t="shared" si="40"/>
        <v>9.631499999999999</v>
      </c>
      <c r="E107" s="56">
        <v>3.66</v>
      </c>
      <c r="F107" s="56">
        <f t="shared" si="45"/>
        <v>5.9715</v>
      </c>
      <c r="G107" s="56">
        <v>0.7</v>
      </c>
      <c r="H107" s="56">
        <v>0.2</v>
      </c>
      <c r="I107" s="56"/>
      <c r="J107" s="56">
        <f t="shared" si="41"/>
        <v>1.9300000000000002</v>
      </c>
      <c r="K107" s="56"/>
      <c r="L107" s="56"/>
      <c r="M107" s="56"/>
      <c r="N107" s="56">
        <f t="shared" si="42"/>
        <v>0.9650000000000001</v>
      </c>
      <c r="O107" s="56"/>
      <c r="P107" s="56"/>
      <c r="Q107" s="56"/>
      <c r="R107" s="56"/>
      <c r="S107" s="56">
        <f t="shared" si="44"/>
        <v>1.308</v>
      </c>
      <c r="T107" s="56"/>
      <c r="U107" s="56"/>
      <c r="V107" s="56">
        <f t="shared" si="43"/>
        <v>0.8685</v>
      </c>
      <c r="W107" s="86">
        <f t="shared" si="46"/>
        <v>172211219.99999997</v>
      </c>
      <c r="X107" s="470"/>
    </row>
    <row r="108" spans="1:24" s="61" customFormat="1" ht="15">
      <c r="A108" s="58">
        <v>10</v>
      </c>
      <c r="B108" s="469" t="s">
        <v>28</v>
      </c>
      <c r="C108" s="56"/>
      <c r="D108" s="56">
        <f t="shared" si="40"/>
        <v>10.496</v>
      </c>
      <c r="E108" s="56">
        <v>3.99</v>
      </c>
      <c r="F108" s="56">
        <f t="shared" si="45"/>
        <v>6.506</v>
      </c>
      <c r="G108" s="56">
        <v>0.7</v>
      </c>
      <c r="H108" s="56">
        <v>0.25</v>
      </c>
      <c r="I108" s="56"/>
      <c r="J108" s="56">
        <f t="shared" si="41"/>
        <v>2.12</v>
      </c>
      <c r="K108" s="56"/>
      <c r="L108" s="56"/>
      <c r="M108" s="56"/>
      <c r="N108" s="56">
        <f t="shared" si="42"/>
        <v>1.06</v>
      </c>
      <c r="O108" s="56"/>
      <c r="P108" s="56"/>
      <c r="Q108" s="56"/>
      <c r="R108" s="56"/>
      <c r="S108" s="56">
        <f t="shared" si="44"/>
        <v>1.422</v>
      </c>
      <c r="T108" s="56"/>
      <c r="U108" s="56"/>
      <c r="V108" s="56">
        <f t="shared" si="43"/>
        <v>0.9540000000000001</v>
      </c>
      <c r="W108" s="86">
        <f t="shared" si="46"/>
        <v>187668480</v>
      </c>
      <c r="X108" s="470"/>
    </row>
    <row r="109" spans="1:24" s="61" customFormat="1" ht="15">
      <c r="A109" s="58">
        <v>11</v>
      </c>
      <c r="B109" s="469" t="s">
        <v>98</v>
      </c>
      <c r="C109" s="56"/>
      <c r="D109" s="56">
        <f t="shared" si="40"/>
        <v>6.92425</v>
      </c>
      <c r="E109" s="56">
        <v>2.67</v>
      </c>
      <c r="F109" s="56">
        <f t="shared" si="45"/>
        <v>4.25425</v>
      </c>
      <c r="G109" s="56">
        <v>0.7</v>
      </c>
      <c r="H109" s="56"/>
      <c r="I109" s="56"/>
      <c r="J109" s="56">
        <f t="shared" si="41"/>
        <v>1.335</v>
      </c>
      <c r="K109" s="56"/>
      <c r="L109" s="56"/>
      <c r="M109" s="56"/>
      <c r="N109" s="56">
        <f t="shared" si="42"/>
        <v>0.6675</v>
      </c>
      <c r="O109" s="56"/>
      <c r="P109" s="56"/>
      <c r="Q109" s="56"/>
      <c r="R109" s="56"/>
      <c r="S109" s="56">
        <f t="shared" si="44"/>
        <v>0.951</v>
      </c>
      <c r="T109" s="56"/>
      <c r="U109" s="56"/>
      <c r="V109" s="56">
        <f t="shared" si="43"/>
        <v>0.60075</v>
      </c>
      <c r="W109" s="86">
        <f t="shared" si="46"/>
        <v>123805590</v>
      </c>
      <c r="X109" s="470"/>
    </row>
    <row r="110" spans="1:24" s="61" customFormat="1" ht="15">
      <c r="A110" s="58">
        <v>12</v>
      </c>
      <c r="B110" s="469" t="s">
        <v>26</v>
      </c>
      <c r="C110" s="56"/>
      <c r="D110" s="56">
        <f t="shared" si="40"/>
        <v>10.18375</v>
      </c>
      <c r="E110" s="56">
        <v>3.33</v>
      </c>
      <c r="F110" s="56">
        <f t="shared" si="45"/>
        <v>6.853749999999999</v>
      </c>
      <c r="G110" s="56">
        <v>0.7</v>
      </c>
      <c r="H110" s="56">
        <v>0.6</v>
      </c>
      <c r="I110" s="56"/>
      <c r="J110" s="56">
        <f t="shared" si="41"/>
        <v>1.965</v>
      </c>
      <c r="K110" s="56"/>
      <c r="L110" s="56"/>
      <c r="M110" s="56"/>
      <c r="N110" s="56">
        <f t="shared" si="42"/>
        <v>0.9825</v>
      </c>
      <c r="O110" s="56"/>
      <c r="P110" s="56"/>
      <c r="Q110" s="56"/>
      <c r="R110" s="56"/>
      <c r="S110" s="56">
        <f t="shared" si="44"/>
        <v>1.329</v>
      </c>
      <c r="T110" s="56">
        <f>(E110+H110)*10%</f>
        <v>0.393</v>
      </c>
      <c r="U110" s="56"/>
      <c r="V110" s="56">
        <f t="shared" si="43"/>
        <v>0.8842500000000001</v>
      </c>
      <c r="W110" s="86">
        <f t="shared" si="46"/>
        <v>182085450</v>
      </c>
      <c r="X110" s="470"/>
    </row>
    <row r="111" spans="1:24" s="61" customFormat="1" ht="15">
      <c r="A111" s="58">
        <v>13</v>
      </c>
      <c r="B111" s="469" t="s">
        <v>30</v>
      </c>
      <c r="C111" s="56"/>
      <c r="D111" s="56">
        <f t="shared" si="40"/>
        <v>8.880749999999999</v>
      </c>
      <c r="E111" s="56">
        <v>3.33</v>
      </c>
      <c r="F111" s="56">
        <f t="shared" si="45"/>
        <v>5.55075</v>
      </c>
      <c r="G111" s="56">
        <v>0.7</v>
      </c>
      <c r="H111" s="56">
        <v>0.2</v>
      </c>
      <c r="I111" s="56"/>
      <c r="J111" s="56">
        <f t="shared" si="41"/>
        <v>1.7650000000000001</v>
      </c>
      <c r="K111" s="56"/>
      <c r="L111" s="56"/>
      <c r="M111" s="56"/>
      <c r="N111" s="56">
        <f t="shared" si="42"/>
        <v>0.8825000000000001</v>
      </c>
      <c r="O111" s="56"/>
      <c r="P111" s="56"/>
      <c r="Q111" s="56"/>
      <c r="R111" s="56"/>
      <c r="S111" s="56">
        <f t="shared" si="44"/>
        <v>1.2089999999999999</v>
      </c>
      <c r="T111" s="56"/>
      <c r="U111" s="56"/>
      <c r="V111" s="56">
        <f t="shared" si="43"/>
        <v>0.7942500000000001</v>
      </c>
      <c r="W111" s="86">
        <f t="shared" si="46"/>
        <v>158787809.99999997</v>
      </c>
      <c r="X111" s="470"/>
    </row>
    <row r="112" spans="1:24" s="61" customFormat="1" ht="15">
      <c r="A112" s="58">
        <v>14</v>
      </c>
      <c r="B112" s="469" t="s">
        <v>102</v>
      </c>
      <c r="C112" s="56"/>
      <c r="D112" s="56">
        <f t="shared" si="40"/>
        <v>10.56425</v>
      </c>
      <c r="E112" s="56">
        <v>4.27</v>
      </c>
      <c r="F112" s="56">
        <f t="shared" si="45"/>
        <v>6.29425</v>
      </c>
      <c r="G112" s="56">
        <v>0.7</v>
      </c>
      <c r="H112" s="56"/>
      <c r="I112" s="56"/>
      <c r="J112" s="56">
        <f t="shared" si="41"/>
        <v>2.135</v>
      </c>
      <c r="K112" s="56"/>
      <c r="L112" s="56"/>
      <c r="M112" s="56"/>
      <c r="N112" s="56">
        <f t="shared" si="42"/>
        <v>1.0675</v>
      </c>
      <c r="O112" s="56"/>
      <c r="P112" s="56"/>
      <c r="Q112" s="56"/>
      <c r="R112" s="56"/>
      <c r="S112" s="56">
        <f t="shared" si="44"/>
        <v>1.4309999999999998</v>
      </c>
      <c r="T112" s="56"/>
      <c r="U112" s="56"/>
      <c r="V112" s="56">
        <f t="shared" si="43"/>
        <v>0.9607499999999999</v>
      </c>
      <c r="W112" s="86">
        <f t="shared" si="46"/>
        <v>188888790</v>
      </c>
      <c r="X112" s="470"/>
    </row>
    <row r="113" spans="1:24" s="61" customFormat="1" ht="15">
      <c r="A113" s="58">
        <v>15</v>
      </c>
      <c r="B113" s="469" t="s">
        <v>104</v>
      </c>
      <c r="C113" s="56"/>
      <c r="D113" s="56">
        <f t="shared" si="40"/>
        <v>6.92425</v>
      </c>
      <c r="E113" s="56">
        <v>2.67</v>
      </c>
      <c r="F113" s="56">
        <f t="shared" si="45"/>
        <v>4.25425</v>
      </c>
      <c r="G113" s="56">
        <v>0.7</v>
      </c>
      <c r="H113" s="56"/>
      <c r="I113" s="56"/>
      <c r="J113" s="56">
        <f t="shared" si="41"/>
        <v>1.335</v>
      </c>
      <c r="K113" s="56"/>
      <c r="L113" s="56"/>
      <c r="M113" s="56"/>
      <c r="N113" s="56">
        <f t="shared" si="42"/>
        <v>0.6675</v>
      </c>
      <c r="O113" s="56"/>
      <c r="P113" s="56"/>
      <c r="Q113" s="56"/>
      <c r="R113" s="56"/>
      <c r="S113" s="56">
        <f t="shared" si="44"/>
        <v>0.951</v>
      </c>
      <c r="T113" s="56"/>
      <c r="U113" s="56"/>
      <c r="V113" s="56">
        <f t="shared" si="43"/>
        <v>0.60075</v>
      </c>
      <c r="W113" s="86">
        <f>D113*1490000*3</f>
        <v>30951397.5</v>
      </c>
      <c r="X113" s="470" t="s">
        <v>297</v>
      </c>
    </row>
    <row r="114" spans="1:24" s="61" customFormat="1" ht="15" customHeight="1">
      <c r="A114" s="816">
        <v>16</v>
      </c>
      <c r="B114" s="819" t="s">
        <v>47</v>
      </c>
      <c r="C114" s="56"/>
      <c r="D114" s="56">
        <f t="shared" si="40"/>
        <v>7.379250000000001</v>
      </c>
      <c r="E114" s="56">
        <v>2.67</v>
      </c>
      <c r="F114" s="56">
        <f t="shared" si="45"/>
        <v>4.709250000000001</v>
      </c>
      <c r="G114" s="56">
        <v>0.7</v>
      </c>
      <c r="H114" s="56">
        <v>0.2</v>
      </c>
      <c r="I114" s="56"/>
      <c r="J114" s="56">
        <f t="shared" si="41"/>
        <v>1.435</v>
      </c>
      <c r="K114" s="56"/>
      <c r="L114" s="56"/>
      <c r="M114" s="56"/>
      <c r="N114" s="56">
        <f t="shared" si="42"/>
        <v>0.7175</v>
      </c>
      <c r="O114" s="56"/>
      <c r="P114" s="56"/>
      <c r="Q114" s="56"/>
      <c r="R114" s="56"/>
      <c r="S114" s="56">
        <f t="shared" si="44"/>
        <v>1.011</v>
      </c>
      <c r="T114" s="56"/>
      <c r="U114" s="56"/>
      <c r="V114" s="56">
        <f t="shared" si="43"/>
        <v>0.64575</v>
      </c>
      <c r="W114" s="86">
        <f>D114*1490000*3</f>
        <v>32985247.500000007</v>
      </c>
      <c r="X114" s="470" t="s">
        <v>297</v>
      </c>
    </row>
    <row r="115" spans="1:24" s="61" customFormat="1" ht="27.75" customHeight="1">
      <c r="A115" s="817"/>
      <c r="B115" s="820"/>
      <c r="C115" s="56"/>
      <c r="D115" s="56">
        <f t="shared" si="40"/>
        <v>7.66625</v>
      </c>
      <c r="E115" s="56">
        <v>2.67</v>
      </c>
      <c r="F115" s="56">
        <f t="shared" si="45"/>
        <v>4.99625</v>
      </c>
      <c r="G115" s="56">
        <v>0.7</v>
      </c>
      <c r="H115" s="56">
        <v>0.2</v>
      </c>
      <c r="I115" s="56"/>
      <c r="J115" s="56">
        <f t="shared" si="41"/>
        <v>1.435</v>
      </c>
      <c r="K115" s="56"/>
      <c r="L115" s="56"/>
      <c r="M115" s="56"/>
      <c r="N115" s="56">
        <f t="shared" si="42"/>
        <v>0.7175</v>
      </c>
      <c r="O115" s="56"/>
      <c r="P115" s="56"/>
      <c r="Q115" s="56"/>
      <c r="R115" s="56"/>
      <c r="S115" s="56">
        <f t="shared" si="44"/>
        <v>1.011</v>
      </c>
      <c r="T115" s="56">
        <f>(E115+H115)*10%</f>
        <v>0.28700000000000003</v>
      </c>
      <c r="U115" s="56"/>
      <c r="V115" s="56">
        <f t="shared" si="43"/>
        <v>0.64575</v>
      </c>
      <c r="W115" s="86">
        <f>D115*1490000*8</f>
        <v>91381700</v>
      </c>
      <c r="X115" s="470" t="s">
        <v>298</v>
      </c>
    </row>
    <row r="116" spans="1:24" s="61" customFormat="1" ht="25.5">
      <c r="A116" s="818"/>
      <c r="B116" s="821"/>
      <c r="C116" s="56"/>
      <c r="D116" s="56">
        <f t="shared" si="40"/>
        <v>8.45</v>
      </c>
      <c r="E116" s="56">
        <v>3</v>
      </c>
      <c r="F116" s="56">
        <f t="shared" si="45"/>
        <v>5.45</v>
      </c>
      <c r="G116" s="56">
        <v>0.7</v>
      </c>
      <c r="H116" s="56">
        <v>0.2</v>
      </c>
      <c r="I116" s="56"/>
      <c r="J116" s="56">
        <f t="shared" si="41"/>
        <v>1.6</v>
      </c>
      <c r="K116" s="56"/>
      <c r="L116" s="56"/>
      <c r="M116" s="56"/>
      <c r="N116" s="56">
        <f t="shared" si="42"/>
        <v>0.8</v>
      </c>
      <c r="O116" s="56"/>
      <c r="P116" s="56"/>
      <c r="Q116" s="56"/>
      <c r="R116" s="56"/>
      <c r="S116" s="56">
        <f t="shared" si="44"/>
        <v>1.1099999999999999</v>
      </c>
      <c r="T116" s="56">
        <f>(E116+H116)*10%</f>
        <v>0.32000000000000006</v>
      </c>
      <c r="U116" s="56"/>
      <c r="V116" s="56">
        <f t="shared" si="43"/>
        <v>0.7200000000000001</v>
      </c>
      <c r="W116" s="86">
        <f>D116*1490000</f>
        <v>12590499.999999998</v>
      </c>
      <c r="X116" s="472" t="s">
        <v>299</v>
      </c>
    </row>
    <row r="117" spans="1:24" s="61" customFormat="1" ht="12.75">
      <c r="A117" s="58">
        <v>17</v>
      </c>
      <c r="B117" s="473" t="s">
        <v>25</v>
      </c>
      <c r="C117" s="56"/>
      <c r="D117" s="56">
        <f t="shared" si="40"/>
        <v>11.883750000000001</v>
      </c>
      <c r="E117" s="56">
        <v>4.65</v>
      </c>
      <c r="F117" s="56">
        <f t="shared" si="45"/>
        <v>7.233750000000001</v>
      </c>
      <c r="G117" s="56">
        <v>0.7</v>
      </c>
      <c r="H117" s="56">
        <v>0.2</v>
      </c>
      <c r="I117" s="56"/>
      <c r="J117" s="56">
        <f t="shared" si="41"/>
        <v>2.4250000000000003</v>
      </c>
      <c r="K117" s="56"/>
      <c r="L117" s="56"/>
      <c r="M117" s="56"/>
      <c r="N117" s="56">
        <f t="shared" si="42"/>
        <v>1.2125000000000001</v>
      </c>
      <c r="O117" s="56"/>
      <c r="P117" s="56"/>
      <c r="Q117" s="56"/>
      <c r="R117" s="56"/>
      <c r="S117" s="56">
        <f t="shared" si="44"/>
        <v>1.605</v>
      </c>
      <c r="T117" s="56"/>
      <c r="U117" s="56"/>
      <c r="V117" s="56">
        <f t="shared" si="43"/>
        <v>1.09125</v>
      </c>
      <c r="W117" s="86">
        <f>D117*1490000*3</f>
        <v>53120362.5</v>
      </c>
      <c r="X117" s="472" t="s">
        <v>297</v>
      </c>
    </row>
    <row r="118" spans="1:24" s="61" customFormat="1" ht="12.75">
      <c r="A118" s="58">
        <v>18</v>
      </c>
      <c r="B118" s="474" t="s">
        <v>27</v>
      </c>
      <c r="C118" s="56"/>
      <c r="D118" s="56">
        <f t="shared" si="40"/>
        <v>10.5415</v>
      </c>
      <c r="E118" s="56">
        <v>3.96</v>
      </c>
      <c r="F118" s="56">
        <f t="shared" si="45"/>
        <v>6.5815</v>
      </c>
      <c r="G118" s="56">
        <v>0.7</v>
      </c>
      <c r="H118" s="56">
        <v>0.3</v>
      </c>
      <c r="I118" s="56"/>
      <c r="J118" s="56">
        <f t="shared" si="41"/>
        <v>2.13</v>
      </c>
      <c r="K118" s="56"/>
      <c r="L118" s="56"/>
      <c r="M118" s="56"/>
      <c r="N118" s="56">
        <f t="shared" si="42"/>
        <v>1.065</v>
      </c>
      <c r="O118" s="56"/>
      <c r="P118" s="56"/>
      <c r="Q118" s="56"/>
      <c r="R118" s="56"/>
      <c r="S118" s="56">
        <f t="shared" si="44"/>
        <v>1.4279999999999997</v>
      </c>
      <c r="T118" s="56"/>
      <c r="U118" s="56"/>
      <c r="V118" s="56">
        <f t="shared" si="43"/>
        <v>0.9585</v>
      </c>
      <c r="W118" s="86">
        <f>D118*1490000*9</f>
        <v>141361514.99999997</v>
      </c>
      <c r="X118" s="472" t="s">
        <v>300</v>
      </c>
    </row>
    <row r="119" spans="1:24" s="61" customFormat="1" ht="15" customHeight="1">
      <c r="A119" s="58">
        <v>19</v>
      </c>
      <c r="B119" s="475" t="s">
        <v>110</v>
      </c>
      <c r="C119" s="56"/>
      <c r="D119" s="56">
        <f t="shared" si="40"/>
        <v>9.859</v>
      </c>
      <c r="E119" s="56">
        <v>3.66</v>
      </c>
      <c r="F119" s="56">
        <f t="shared" si="45"/>
        <v>6.199</v>
      </c>
      <c r="G119" s="56">
        <v>0.7</v>
      </c>
      <c r="H119" s="56">
        <v>0.3</v>
      </c>
      <c r="I119" s="56"/>
      <c r="J119" s="56">
        <f t="shared" si="41"/>
        <v>1.98</v>
      </c>
      <c r="K119" s="56"/>
      <c r="L119" s="56"/>
      <c r="M119" s="56"/>
      <c r="N119" s="56">
        <f t="shared" si="42"/>
        <v>0.99</v>
      </c>
      <c r="O119" s="56"/>
      <c r="P119" s="56"/>
      <c r="Q119" s="56"/>
      <c r="R119" s="56"/>
      <c r="S119" s="56">
        <f t="shared" si="44"/>
        <v>1.3379999999999999</v>
      </c>
      <c r="T119" s="56"/>
      <c r="U119" s="56"/>
      <c r="V119" s="56">
        <f t="shared" si="43"/>
        <v>0.891</v>
      </c>
      <c r="W119" s="86">
        <f>D119*1490000*12</f>
        <v>176278920</v>
      </c>
      <c r="X119" s="472"/>
    </row>
    <row r="120" spans="1:24" s="61" customFormat="1" ht="12.75">
      <c r="A120" s="58">
        <v>20</v>
      </c>
      <c r="B120" s="473" t="s">
        <v>100</v>
      </c>
      <c r="C120" s="56"/>
      <c r="D120" s="56">
        <f t="shared" si="40"/>
        <v>8.129999999999999</v>
      </c>
      <c r="E120" s="56">
        <v>3</v>
      </c>
      <c r="F120" s="56">
        <f t="shared" si="45"/>
        <v>5.13</v>
      </c>
      <c r="G120" s="56">
        <v>0.7</v>
      </c>
      <c r="H120" s="56">
        <v>0.2</v>
      </c>
      <c r="I120" s="56"/>
      <c r="J120" s="56">
        <f t="shared" si="41"/>
        <v>1.6</v>
      </c>
      <c r="K120" s="56"/>
      <c r="L120" s="56"/>
      <c r="M120" s="56"/>
      <c r="N120" s="56">
        <f t="shared" si="42"/>
        <v>0.8</v>
      </c>
      <c r="O120" s="56"/>
      <c r="P120" s="56"/>
      <c r="Q120" s="56"/>
      <c r="R120" s="56"/>
      <c r="S120" s="56">
        <f t="shared" si="44"/>
        <v>1.1099999999999999</v>
      </c>
      <c r="T120" s="56"/>
      <c r="U120" s="56"/>
      <c r="V120" s="56">
        <f t="shared" si="43"/>
        <v>0.7200000000000001</v>
      </c>
      <c r="W120" s="86">
        <f>D120*1490000*12</f>
        <v>145364399.99999997</v>
      </c>
      <c r="X120" s="472"/>
    </row>
    <row r="121" spans="1:24" s="61" customFormat="1" ht="24" customHeight="1">
      <c r="A121" s="816">
        <v>21</v>
      </c>
      <c r="B121" s="822" t="s">
        <v>101</v>
      </c>
      <c r="C121" s="56"/>
      <c r="D121" s="56">
        <f t="shared" si="40"/>
        <v>8.880749999999999</v>
      </c>
      <c r="E121" s="56">
        <v>3.33</v>
      </c>
      <c r="F121" s="56">
        <f t="shared" si="45"/>
        <v>5.55075</v>
      </c>
      <c r="G121" s="56">
        <v>0.7</v>
      </c>
      <c r="H121" s="56">
        <v>0.2</v>
      </c>
      <c r="I121" s="56"/>
      <c r="J121" s="56">
        <f t="shared" si="41"/>
        <v>1.7650000000000001</v>
      </c>
      <c r="K121" s="56"/>
      <c r="L121" s="56"/>
      <c r="M121" s="56"/>
      <c r="N121" s="56">
        <f t="shared" si="42"/>
        <v>0.8825000000000001</v>
      </c>
      <c r="O121" s="56"/>
      <c r="P121" s="56"/>
      <c r="Q121" s="56"/>
      <c r="R121" s="56"/>
      <c r="S121" s="56">
        <f t="shared" si="44"/>
        <v>1.2089999999999999</v>
      </c>
      <c r="T121" s="56"/>
      <c r="U121" s="56"/>
      <c r="V121" s="56">
        <f t="shared" si="43"/>
        <v>0.7942500000000001</v>
      </c>
      <c r="W121" s="86">
        <f>D121*1490000*10</f>
        <v>132323174.99999999</v>
      </c>
      <c r="X121" s="472" t="s">
        <v>301</v>
      </c>
    </row>
    <row r="122" spans="1:24" s="61" customFormat="1" ht="30.75" customHeight="1">
      <c r="A122" s="818"/>
      <c r="B122" s="821"/>
      <c r="C122" s="56"/>
      <c r="D122" s="56">
        <f t="shared" si="40"/>
        <v>9.631499999999999</v>
      </c>
      <c r="E122" s="56">
        <v>3.66</v>
      </c>
      <c r="F122" s="56">
        <f t="shared" si="45"/>
        <v>5.9715</v>
      </c>
      <c r="G122" s="56">
        <v>0.7</v>
      </c>
      <c r="H122" s="56">
        <v>0.2</v>
      </c>
      <c r="I122" s="56"/>
      <c r="J122" s="56">
        <f t="shared" si="41"/>
        <v>1.9300000000000002</v>
      </c>
      <c r="K122" s="56"/>
      <c r="L122" s="56"/>
      <c r="M122" s="56"/>
      <c r="N122" s="56">
        <f t="shared" si="42"/>
        <v>0.9650000000000001</v>
      </c>
      <c r="O122" s="56"/>
      <c r="P122" s="56"/>
      <c r="Q122" s="56"/>
      <c r="R122" s="56"/>
      <c r="S122" s="56">
        <f t="shared" si="44"/>
        <v>1.308</v>
      </c>
      <c r="T122" s="56"/>
      <c r="U122" s="56"/>
      <c r="V122" s="56">
        <f t="shared" si="43"/>
        <v>0.8685</v>
      </c>
      <c r="W122" s="86">
        <f>D122*2*1490000</f>
        <v>28701869.999999996</v>
      </c>
      <c r="X122" s="472" t="s">
        <v>302</v>
      </c>
    </row>
    <row r="123" spans="1:24" s="61" customFormat="1" ht="12.75">
      <c r="A123" s="58">
        <v>22</v>
      </c>
      <c r="B123" s="473" t="s">
        <v>99</v>
      </c>
      <c r="C123" s="56"/>
      <c r="D123" s="56">
        <f t="shared" si="40"/>
        <v>7.12425</v>
      </c>
      <c r="E123" s="56">
        <v>2.67</v>
      </c>
      <c r="F123" s="56">
        <f t="shared" si="45"/>
        <v>4.45425</v>
      </c>
      <c r="G123" s="56">
        <v>0.7</v>
      </c>
      <c r="H123" s="56"/>
      <c r="I123" s="56"/>
      <c r="J123" s="56">
        <f t="shared" si="41"/>
        <v>1.335</v>
      </c>
      <c r="K123" s="56"/>
      <c r="L123" s="56"/>
      <c r="M123" s="56"/>
      <c r="N123" s="56">
        <f t="shared" si="42"/>
        <v>0.6675</v>
      </c>
      <c r="O123" s="56"/>
      <c r="P123" s="56"/>
      <c r="Q123" s="56"/>
      <c r="R123" s="56"/>
      <c r="S123" s="56">
        <f t="shared" si="44"/>
        <v>0.951</v>
      </c>
      <c r="T123" s="56"/>
      <c r="U123" s="56">
        <v>0.2</v>
      </c>
      <c r="V123" s="56">
        <f t="shared" si="43"/>
        <v>0.60075</v>
      </c>
      <c r="W123" s="86">
        <f>D123*1490000*8</f>
        <v>84921060</v>
      </c>
      <c r="X123" s="472" t="s">
        <v>303</v>
      </c>
    </row>
    <row r="124" spans="1:24" s="61" customFormat="1" ht="15">
      <c r="A124" s="58">
        <v>23</v>
      </c>
      <c r="B124" s="469" t="s">
        <v>97</v>
      </c>
      <c r="C124" s="56"/>
      <c r="D124" s="56">
        <f t="shared" si="40"/>
        <v>6.92425</v>
      </c>
      <c r="E124" s="56">
        <v>2.67</v>
      </c>
      <c r="F124" s="56">
        <f t="shared" si="45"/>
        <v>4.25425</v>
      </c>
      <c r="G124" s="56">
        <v>0.7</v>
      </c>
      <c r="H124" s="56"/>
      <c r="I124" s="56"/>
      <c r="J124" s="56">
        <f t="shared" si="41"/>
        <v>1.335</v>
      </c>
      <c r="K124" s="56"/>
      <c r="L124" s="56"/>
      <c r="M124" s="56"/>
      <c r="N124" s="56">
        <f t="shared" si="42"/>
        <v>0.6675</v>
      </c>
      <c r="O124" s="56"/>
      <c r="P124" s="56"/>
      <c r="Q124" s="56"/>
      <c r="R124" s="56"/>
      <c r="S124" s="56">
        <f t="shared" si="44"/>
        <v>0.951</v>
      </c>
      <c r="T124" s="56"/>
      <c r="U124" s="56"/>
      <c r="V124" s="56">
        <f t="shared" si="43"/>
        <v>0.60075</v>
      </c>
      <c r="W124" s="86">
        <f aca="true" t="shared" si="47" ref="W124:W129">D124*1490000*12</f>
        <v>123805590</v>
      </c>
      <c r="X124" s="472"/>
    </row>
    <row r="125" spans="1:24" s="61" customFormat="1" ht="15">
      <c r="A125" s="58">
        <v>24</v>
      </c>
      <c r="B125" s="469" t="s">
        <v>96</v>
      </c>
      <c r="C125" s="56"/>
      <c r="D125" s="56">
        <f t="shared" si="40"/>
        <v>6.1735</v>
      </c>
      <c r="E125" s="56">
        <v>2.34</v>
      </c>
      <c r="F125" s="56">
        <f t="shared" si="45"/>
        <v>3.8335</v>
      </c>
      <c r="G125" s="56">
        <v>0.7</v>
      </c>
      <c r="H125" s="56"/>
      <c r="I125" s="56"/>
      <c r="J125" s="56">
        <f t="shared" si="41"/>
        <v>1.17</v>
      </c>
      <c r="K125" s="56"/>
      <c r="L125" s="56"/>
      <c r="M125" s="56"/>
      <c r="N125" s="56">
        <f t="shared" si="42"/>
        <v>0.585</v>
      </c>
      <c r="O125" s="56"/>
      <c r="P125" s="56"/>
      <c r="Q125" s="56"/>
      <c r="R125" s="56"/>
      <c r="S125" s="56">
        <f t="shared" si="44"/>
        <v>0.852</v>
      </c>
      <c r="T125" s="56"/>
      <c r="U125" s="56"/>
      <c r="V125" s="56">
        <f t="shared" si="43"/>
        <v>0.5265</v>
      </c>
      <c r="W125" s="86">
        <f t="shared" si="47"/>
        <v>110382180</v>
      </c>
      <c r="X125" s="472"/>
    </row>
    <row r="126" spans="1:24" s="61" customFormat="1" ht="15">
      <c r="A126" s="58">
        <v>25</v>
      </c>
      <c r="B126" s="469" t="s">
        <v>95</v>
      </c>
      <c r="C126" s="56"/>
      <c r="D126" s="56">
        <f t="shared" si="40"/>
        <v>6.92425</v>
      </c>
      <c r="E126" s="56">
        <v>2.67</v>
      </c>
      <c r="F126" s="56">
        <f t="shared" si="45"/>
        <v>4.25425</v>
      </c>
      <c r="G126" s="56">
        <v>0.7</v>
      </c>
      <c r="H126" s="56"/>
      <c r="I126" s="56"/>
      <c r="J126" s="56">
        <f t="shared" si="41"/>
        <v>1.335</v>
      </c>
      <c r="K126" s="56"/>
      <c r="L126" s="56"/>
      <c r="M126" s="56"/>
      <c r="N126" s="56">
        <f t="shared" si="42"/>
        <v>0.6675</v>
      </c>
      <c r="O126" s="56"/>
      <c r="P126" s="56"/>
      <c r="Q126" s="56"/>
      <c r="R126" s="56"/>
      <c r="S126" s="56">
        <f t="shared" si="44"/>
        <v>0.951</v>
      </c>
      <c r="T126" s="56"/>
      <c r="U126" s="56"/>
      <c r="V126" s="56">
        <f t="shared" si="43"/>
        <v>0.60075</v>
      </c>
      <c r="W126" s="86">
        <f t="shared" si="47"/>
        <v>123805590</v>
      </c>
      <c r="X126" s="472"/>
    </row>
    <row r="127" spans="1:24" s="61" customFormat="1" ht="15">
      <c r="A127" s="58">
        <v>26</v>
      </c>
      <c r="B127" s="469" t="s">
        <v>94</v>
      </c>
      <c r="C127" s="56"/>
      <c r="D127" s="56">
        <f t="shared" si="40"/>
        <v>6.041499999999999</v>
      </c>
      <c r="E127" s="56">
        <v>2.26</v>
      </c>
      <c r="F127" s="56">
        <f t="shared" si="45"/>
        <v>3.7814999999999994</v>
      </c>
      <c r="G127" s="56">
        <v>0.7</v>
      </c>
      <c r="H127" s="56"/>
      <c r="I127" s="56"/>
      <c r="J127" s="56">
        <f t="shared" si="41"/>
        <v>1.13</v>
      </c>
      <c r="K127" s="56"/>
      <c r="L127" s="56"/>
      <c r="M127" s="56"/>
      <c r="N127" s="56">
        <f t="shared" si="42"/>
        <v>0.565</v>
      </c>
      <c r="O127" s="56"/>
      <c r="P127" s="56"/>
      <c r="Q127" s="56"/>
      <c r="R127" s="56"/>
      <c r="S127" s="56">
        <f t="shared" si="44"/>
        <v>0.828</v>
      </c>
      <c r="T127" s="56"/>
      <c r="U127" s="56">
        <v>0.05</v>
      </c>
      <c r="V127" s="56">
        <f t="shared" si="43"/>
        <v>0.5085</v>
      </c>
      <c r="W127" s="86">
        <f t="shared" si="47"/>
        <v>108022019.99999997</v>
      </c>
      <c r="X127" s="472"/>
    </row>
    <row r="128" spans="1:24" s="61" customFormat="1" ht="15">
      <c r="A128" s="58">
        <v>27</v>
      </c>
      <c r="B128" s="469" t="s">
        <v>92</v>
      </c>
      <c r="C128" s="56"/>
      <c r="D128" s="56">
        <f t="shared" si="40"/>
        <v>6.1735</v>
      </c>
      <c r="E128" s="56">
        <v>2.34</v>
      </c>
      <c r="F128" s="56">
        <f t="shared" si="45"/>
        <v>3.8335</v>
      </c>
      <c r="G128" s="56">
        <v>0.7</v>
      </c>
      <c r="H128" s="56"/>
      <c r="I128" s="56"/>
      <c r="J128" s="56">
        <f t="shared" si="41"/>
        <v>1.17</v>
      </c>
      <c r="K128" s="56"/>
      <c r="L128" s="56"/>
      <c r="M128" s="56"/>
      <c r="N128" s="56">
        <f t="shared" si="42"/>
        <v>0.585</v>
      </c>
      <c r="O128" s="56"/>
      <c r="P128" s="56"/>
      <c r="Q128" s="56"/>
      <c r="R128" s="56"/>
      <c r="S128" s="56">
        <f t="shared" si="44"/>
        <v>0.852</v>
      </c>
      <c r="T128" s="56"/>
      <c r="U128" s="56"/>
      <c r="V128" s="56">
        <f t="shared" si="43"/>
        <v>0.5265</v>
      </c>
      <c r="W128" s="86">
        <f t="shared" si="47"/>
        <v>110382180</v>
      </c>
      <c r="X128" s="472"/>
    </row>
    <row r="129" spans="1:24" s="61" customFormat="1" ht="15">
      <c r="A129" s="58">
        <v>28</v>
      </c>
      <c r="B129" s="469" t="s">
        <v>91</v>
      </c>
      <c r="C129" s="56"/>
      <c r="D129" s="56">
        <f t="shared" si="40"/>
        <v>6.92425</v>
      </c>
      <c r="E129" s="56">
        <v>2.67</v>
      </c>
      <c r="F129" s="56">
        <f t="shared" si="45"/>
        <v>4.25425</v>
      </c>
      <c r="G129" s="56">
        <v>0.7</v>
      </c>
      <c r="H129" s="56"/>
      <c r="I129" s="56"/>
      <c r="J129" s="56">
        <f t="shared" si="41"/>
        <v>1.335</v>
      </c>
      <c r="K129" s="56"/>
      <c r="L129" s="56"/>
      <c r="M129" s="56"/>
      <c r="N129" s="56">
        <f t="shared" si="42"/>
        <v>0.6675</v>
      </c>
      <c r="O129" s="56"/>
      <c r="P129" s="56"/>
      <c r="Q129" s="56"/>
      <c r="R129" s="56"/>
      <c r="S129" s="56">
        <f t="shared" si="44"/>
        <v>0.951</v>
      </c>
      <c r="T129" s="56"/>
      <c r="U129" s="56"/>
      <c r="V129" s="56">
        <f t="shared" si="43"/>
        <v>0.60075</v>
      </c>
      <c r="W129" s="86">
        <f t="shared" si="47"/>
        <v>123805590</v>
      </c>
      <c r="X129" s="472"/>
    </row>
    <row r="130" spans="1:24" s="61" customFormat="1" ht="15" customHeight="1">
      <c r="A130" s="816">
        <v>29</v>
      </c>
      <c r="B130" s="823" t="s">
        <v>90</v>
      </c>
      <c r="C130" s="56"/>
      <c r="D130" s="56">
        <f t="shared" si="40"/>
        <v>6.9015</v>
      </c>
      <c r="E130" s="56">
        <v>2.66</v>
      </c>
      <c r="F130" s="56">
        <f t="shared" si="45"/>
        <v>4.2415</v>
      </c>
      <c r="G130" s="56">
        <v>0.7</v>
      </c>
      <c r="H130" s="56"/>
      <c r="I130" s="56"/>
      <c r="J130" s="56">
        <f t="shared" si="41"/>
        <v>1.33</v>
      </c>
      <c r="K130" s="56"/>
      <c r="L130" s="56"/>
      <c r="M130" s="56"/>
      <c r="N130" s="56">
        <f t="shared" si="42"/>
        <v>0.665</v>
      </c>
      <c r="O130" s="56"/>
      <c r="P130" s="56"/>
      <c r="Q130" s="56"/>
      <c r="R130" s="56"/>
      <c r="S130" s="56">
        <f t="shared" si="44"/>
        <v>0.9480000000000001</v>
      </c>
      <c r="T130" s="56"/>
      <c r="U130" s="56"/>
      <c r="V130" s="56">
        <f t="shared" si="43"/>
        <v>0.5985</v>
      </c>
      <c r="W130" s="86">
        <f>D130*1490000*3</f>
        <v>30849705</v>
      </c>
      <c r="X130" s="472" t="s">
        <v>297</v>
      </c>
    </row>
    <row r="131" spans="1:24" s="61" customFormat="1" ht="28.5" customHeight="1">
      <c r="A131" s="818"/>
      <c r="B131" s="824"/>
      <c r="C131" s="56"/>
      <c r="D131" s="56">
        <f t="shared" si="40"/>
        <v>7.356499999999999</v>
      </c>
      <c r="E131" s="56">
        <v>2.86</v>
      </c>
      <c r="F131" s="56">
        <f t="shared" si="45"/>
        <v>4.496499999999999</v>
      </c>
      <c r="G131" s="56">
        <v>0.7</v>
      </c>
      <c r="H131" s="56"/>
      <c r="I131" s="56"/>
      <c r="J131" s="56">
        <f t="shared" si="41"/>
        <v>1.43</v>
      </c>
      <c r="K131" s="56"/>
      <c r="L131" s="56"/>
      <c r="M131" s="56"/>
      <c r="N131" s="56">
        <f t="shared" si="42"/>
        <v>0.715</v>
      </c>
      <c r="O131" s="56"/>
      <c r="P131" s="56"/>
      <c r="Q131" s="56"/>
      <c r="R131" s="56"/>
      <c r="S131" s="56">
        <f t="shared" si="44"/>
        <v>1.008</v>
      </c>
      <c r="T131" s="56"/>
      <c r="U131" s="56"/>
      <c r="V131" s="56">
        <f t="shared" si="43"/>
        <v>0.6435</v>
      </c>
      <c r="W131" s="86">
        <f>D131*1490000*9</f>
        <v>98650664.99999999</v>
      </c>
      <c r="X131" s="472" t="s">
        <v>300</v>
      </c>
    </row>
    <row r="132" spans="1:24" s="61" customFormat="1" ht="12.75">
      <c r="A132" s="58">
        <v>30</v>
      </c>
      <c r="B132" s="473" t="s">
        <v>93</v>
      </c>
      <c r="C132" s="56"/>
      <c r="D132" s="56">
        <f t="shared" si="40"/>
        <v>6.1735</v>
      </c>
      <c r="E132" s="56">
        <v>2.34</v>
      </c>
      <c r="F132" s="56">
        <f t="shared" si="45"/>
        <v>3.8335</v>
      </c>
      <c r="G132" s="56">
        <v>0.7</v>
      </c>
      <c r="H132" s="56"/>
      <c r="I132" s="56"/>
      <c r="J132" s="56">
        <f t="shared" si="41"/>
        <v>1.17</v>
      </c>
      <c r="K132" s="56"/>
      <c r="L132" s="56"/>
      <c r="M132" s="56"/>
      <c r="N132" s="56">
        <f t="shared" si="42"/>
        <v>0.585</v>
      </c>
      <c r="O132" s="56"/>
      <c r="P132" s="56"/>
      <c r="Q132" s="56"/>
      <c r="R132" s="56"/>
      <c r="S132" s="56">
        <f t="shared" si="44"/>
        <v>0.852</v>
      </c>
      <c r="T132" s="56"/>
      <c r="U132" s="56"/>
      <c r="V132" s="56">
        <f t="shared" si="43"/>
        <v>0.5265</v>
      </c>
      <c r="W132" s="86">
        <f>D132*1490000*2</f>
        <v>18397030</v>
      </c>
      <c r="X132" s="472" t="s">
        <v>304</v>
      </c>
    </row>
    <row r="133" spans="1:24" s="61" customFormat="1" ht="13.5">
      <c r="A133" s="58"/>
      <c r="B133" s="476" t="s">
        <v>309</v>
      </c>
      <c r="C133" s="55">
        <f>SUM(C135:C137)</f>
        <v>0</v>
      </c>
      <c r="D133" s="55">
        <f aca="true" t="shared" si="48" ref="D133:X133">SUM(D135:D137)</f>
        <v>0</v>
      </c>
      <c r="E133" s="55">
        <f t="shared" si="48"/>
        <v>0</v>
      </c>
      <c r="F133" s="55">
        <f t="shared" si="48"/>
        <v>0</v>
      </c>
      <c r="G133" s="55">
        <f t="shared" si="48"/>
        <v>0</v>
      </c>
      <c r="H133" s="55">
        <f t="shared" si="48"/>
        <v>0</v>
      </c>
      <c r="I133" s="55">
        <f t="shared" si="48"/>
        <v>0</v>
      </c>
      <c r="J133" s="55">
        <f t="shared" si="48"/>
        <v>0</v>
      </c>
      <c r="K133" s="55">
        <f t="shared" si="48"/>
        <v>0</v>
      </c>
      <c r="L133" s="55">
        <f t="shared" si="48"/>
        <v>0</v>
      </c>
      <c r="M133" s="55">
        <f t="shared" si="48"/>
        <v>0</v>
      </c>
      <c r="N133" s="55">
        <f t="shared" si="48"/>
        <v>0</v>
      </c>
      <c r="O133" s="55">
        <f t="shared" si="48"/>
        <v>0</v>
      </c>
      <c r="P133" s="55">
        <f t="shared" si="48"/>
        <v>0</v>
      </c>
      <c r="Q133" s="55">
        <f t="shared" si="48"/>
        <v>0</v>
      </c>
      <c r="R133" s="55">
        <f t="shared" si="48"/>
        <v>0</v>
      </c>
      <c r="S133" s="55">
        <f t="shared" si="48"/>
        <v>0</v>
      </c>
      <c r="T133" s="55">
        <f t="shared" si="48"/>
        <v>0</v>
      </c>
      <c r="U133" s="55">
        <f t="shared" si="48"/>
        <v>0</v>
      </c>
      <c r="V133" s="55">
        <f t="shared" si="48"/>
        <v>0</v>
      </c>
      <c r="W133" s="55">
        <f>SUM(W134:W137)</f>
        <v>416442000</v>
      </c>
      <c r="X133" s="55">
        <f t="shared" si="48"/>
        <v>0</v>
      </c>
    </row>
    <row r="134" spans="1:24" s="61" customFormat="1" ht="12.75">
      <c r="A134" s="58">
        <v>31</v>
      </c>
      <c r="B134" s="473" t="s">
        <v>305</v>
      </c>
      <c r="C134" s="56"/>
      <c r="D134" s="56"/>
      <c r="E134" s="56"/>
      <c r="F134" s="56"/>
      <c r="G134" s="56"/>
      <c r="H134" s="56"/>
      <c r="I134" s="56"/>
      <c r="J134" s="56">
        <f>(E134+H134)*50%</f>
        <v>0</v>
      </c>
      <c r="K134" s="56"/>
      <c r="L134" s="56"/>
      <c r="M134" s="56"/>
      <c r="N134" s="56">
        <f>(E134+H134)*0.25</f>
        <v>0</v>
      </c>
      <c r="O134" s="56"/>
      <c r="P134" s="56"/>
      <c r="Q134" s="56"/>
      <c r="R134" s="56"/>
      <c r="S134" s="56"/>
      <c r="T134" s="56"/>
      <c r="U134" s="56"/>
      <c r="V134" s="56">
        <f>(E134+H134)*22.5%</f>
        <v>0</v>
      </c>
      <c r="W134" s="86">
        <f>(9300000+9300000*23.5%)*12</f>
        <v>137826000</v>
      </c>
      <c r="X134" s="472"/>
    </row>
    <row r="135" spans="1:24" s="61" customFormat="1" ht="12.75">
      <c r="A135" s="58">
        <v>32</v>
      </c>
      <c r="B135" s="473" t="s">
        <v>306</v>
      </c>
      <c r="C135" s="56"/>
      <c r="D135" s="56"/>
      <c r="E135" s="56"/>
      <c r="F135" s="56"/>
      <c r="G135" s="56"/>
      <c r="H135" s="56"/>
      <c r="I135" s="56"/>
      <c r="J135" s="56">
        <f t="shared" si="41"/>
        <v>0</v>
      </c>
      <c r="K135" s="56"/>
      <c r="L135" s="56"/>
      <c r="M135" s="56"/>
      <c r="N135" s="56">
        <f t="shared" si="42"/>
        <v>0</v>
      </c>
      <c r="O135" s="56"/>
      <c r="P135" s="56"/>
      <c r="Q135" s="56"/>
      <c r="R135" s="56"/>
      <c r="S135" s="56"/>
      <c r="T135" s="56"/>
      <c r="U135" s="56"/>
      <c r="V135" s="56">
        <f t="shared" si="43"/>
        <v>0</v>
      </c>
      <c r="W135" s="86">
        <f>(7700000+7700000*23.5%)*12</f>
        <v>114114000</v>
      </c>
      <c r="X135" s="472"/>
    </row>
    <row r="136" spans="1:24" s="61" customFormat="1" ht="12.75">
      <c r="A136" s="58">
        <v>33</v>
      </c>
      <c r="B136" s="473" t="s">
        <v>307</v>
      </c>
      <c r="C136" s="56"/>
      <c r="D136" s="56"/>
      <c r="E136" s="56"/>
      <c r="F136" s="56"/>
      <c r="G136" s="56"/>
      <c r="H136" s="56"/>
      <c r="I136" s="56"/>
      <c r="J136" s="56">
        <f t="shared" si="41"/>
        <v>0</v>
      </c>
      <c r="K136" s="56"/>
      <c r="L136" s="56"/>
      <c r="M136" s="56"/>
      <c r="N136" s="56">
        <f t="shared" si="42"/>
        <v>0</v>
      </c>
      <c r="O136" s="56"/>
      <c r="P136" s="56"/>
      <c r="Q136" s="56"/>
      <c r="R136" s="56"/>
      <c r="S136" s="56"/>
      <c r="T136" s="56"/>
      <c r="U136" s="56"/>
      <c r="V136" s="56">
        <f t="shared" si="43"/>
        <v>0</v>
      </c>
      <c r="W136" s="86">
        <f>(6100000+6100000*23.5%)*12</f>
        <v>90402000</v>
      </c>
      <c r="X136" s="472"/>
    </row>
    <row r="137" spans="1:24" s="61" customFormat="1" ht="12.75">
      <c r="A137" s="58">
        <v>34</v>
      </c>
      <c r="B137" s="473" t="s">
        <v>308</v>
      </c>
      <c r="C137" s="56"/>
      <c r="D137" s="56"/>
      <c r="E137" s="56"/>
      <c r="F137" s="56"/>
      <c r="G137" s="56"/>
      <c r="H137" s="56"/>
      <c r="I137" s="56"/>
      <c r="J137" s="56">
        <f t="shared" si="41"/>
        <v>0</v>
      </c>
      <c r="K137" s="56"/>
      <c r="L137" s="56"/>
      <c r="M137" s="56"/>
      <c r="N137" s="56">
        <f t="shared" si="42"/>
        <v>0</v>
      </c>
      <c r="O137" s="56"/>
      <c r="P137" s="56"/>
      <c r="Q137" s="56"/>
      <c r="R137" s="56"/>
      <c r="S137" s="56"/>
      <c r="T137" s="56"/>
      <c r="U137" s="56"/>
      <c r="V137" s="56">
        <f t="shared" si="43"/>
        <v>0</v>
      </c>
      <c r="W137" s="86">
        <f>(5000000+5000000*23.5%)*12</f>
        <v>74100000</v>
      </c>
      <c r="X137" s="472"/>
    </row>
    <row r="138" spans="1:24" s="49" customFormat="1" ht="25.5" customHeight="1">
      <c r="A138" s="227" t="s">
        <v>286</v>
      </c>
      <c r="B138" s="10" t="s">
        <v>281</v>
      </c>
      <c r="C138" s="194">
        <v>4</v>
      </c>
      <c r="D138" s="194">
        <f>SUM(D139:D142)</f>
        <v>38.747749999999996</v>
      </c>
      <c r="E138" s="194">
        <f aca="true" t="shared" si="49" ref="E138:V138">SUM(E139:E142)</f>
        <v>15.42</v>
      </c>
      <c r="F138" s="194">
        <f t="shared" si="49"/>
        <v>19.6445</v>
      </c>
      <c r="G138" s="194">
        <f t="shared" si="49"/>
        <v>2.0999999999999996</v>
      </c>
      <c r="H138" s="194">
        <f t="shared" si="49"/>
        <v>0.9500000000000001</v>
      </c>
      <c r="I138" s="194">
        <f t="shared" si="49"/>
        <v>0</v>
      </c>
      <c r="J138" s="194">
        <f t="shared" si="49"/>
        <v>7.015000000000001</v>
      </c>
      <c r="K138" s="194">
        <f t="shared" si="49"/>
        <v>0</v>
      </c>
      <c r="L138" s="194">
        <f t="shared" si="49"/>
        <v>0</v>
      </c>
      <c r="M138" s="194">
        <f t="shared" si="49"/>
        <v>0</v>
      </c>
      <c r="N138" s="194">
        <f t="shared" si="49"/>
        <v>3.5075000000000003</v>
      </c>
      <c r="O138" s="194">
        <f t="shared" si="49"/>
        <v>0</v>
      </c>
      <c r="P138" s="194">
        <f t="shared" si="49"/>
        <v>0</v>
      </c>
      <c r="Q138" s="194">
        <f t="shared" si="49"/>
        <v>0</v>
      </c>
      <c r="R138" s="194">
        <f t="shared" si="49"/>
        <v>0</v>
      </c>
      <c r="S138" s="194">
        <f t="shared" si="49"/>
        <v>4.209</v>
      </c>
      <c r="T138" s="194">
        <f t="shared" si="49"/>
        <v>1.4030000000000002</v>
      </c>
      <c r="U138" s="194">
        <f t="shared" si="49"/>
        <v>0.45999999999999996</v>
      </c>
      <c r="V138" s="194">
        <f t="shared" si="49"/>
        <v>3.68325</v>
      </c>
      <c r="W138" s="195">
        <f>SUM(W139:W143)</f>
        <v>696700160</v>
      </c>
      <c r="X138" s="194"/>
    </row>
    <row r="139" spans="1:29" s="139" customFormat="1" ht="29.25" customHeight="1">
      <c r="A139" s="98" t="s">
        <v>278</v>
      </c>
      <c r="B139" s="196" t="s">
        <v>279</v>
      </c>
      <c r="C139" s="73"/>
      <c r="D139" s="100">
        <f>E139+F139+V139</f>
        <v>16.044999999999998</v>
      </c>
      <c r="E139" s="197">
        <v>5.76</v>
      </c>
      <c r="F139" s="100">
        <f>SUM(G139:U139)</f>
        <v>8.854</v>
      </c>
      <c r="G139" s="100">
        <v>0.7</v>
      </c>
      <c r="H139" s="198">
        <v>0.6</v>
      </c>
      <c r="I139" s="100"/>
      <c r="J139" s="100">
        <f>(E139+H139)*50%</f>
        <v>3.1799999999999997</v>
      </c>
      <c r="K139" s="100"/>
      <c r="L139" s="100"/>
      <c r="M139" s="100"/>
      <c r="N139" s="100">
        <f>(E139+H139)*25%</f>
        <v>1.5899999999999999</v>
      </c>
      <c r="O139" s="100"/>
      <c r="P139" s="100"/>
      <c r="Q139" s="100"/>
      <c r="R139" s="100"/>
      <c r="S139" s="100">
        <f>(E139+H139)*30%</f>
        <v>1.9079999999999997</v>
      </c>
      <c r="T139" s="100">
        <f>(E139+H139)*10%</f>
        <v>0.636</v>
      </c>
      <c r="U139" s="100">
        <v>0.24</v>
      </c>
      <c r="V139" s="100">
        <f>(E139+H139)*22.5%</f>
        <v>1.4309999999999998</v>
      </c>
      <c r="W139" s="101">
        <f>D139*12*1490000</f>
        <v>286884599.99999994</v>
      </c>
      <c r="X139" s="100"/>
      <c r="Y139" s="825"/>
      <c r="Z139" s="826"/>
      <c r="AA139" s="826"/>
      <c r="AB139" s="826"/>
      <c r="AC139" s="826"/>
    </row>
    <row r="140" spans="1:24" s="139" customFormat="1" ht="29.25" customHeight="1">
      <c r="A140" s="98" t="s">
        <v>195</v>
      </c>
      <c r="B140" s="196" t="s">
        <v>80</v>
      </c>
      <c r="C140" s="102"/>
      <c r="D140" s="100">
        <f>E140+F140+V140</f>
        <v>9.08375</v>
      </c>
      <c r="E140" s="197">
        <v>3.33</v>
      </c>
      <c r="F140" s="100">
        <f>SUM(G140:U140)</f>
        <v>4.9595</v>
      </c>
      <c r="G140" s="100">
        <v>0.7</v>
      </c>
      <c r="H140" s="198">
        <v>0.2</v>
      </c>
      <c r="I140" s="103"/>
      <c r="J140" s="100">
        <f>(E140+H140)*50%</f>
        <v>1.7650000000000001</v>
      </c>
      <c r="K140" s="103"/>
      <c r="L140" s="103"/>
      <c r="M140" s="103"/>
      <c r="N140" s="100">
        <f>(E140+H140)*25%</f>
        <v>0.8825000000000001</v>
      </c>
      <c r="O140" s="103"/>
      <c r="P140" s="103"/>
      <c r="Q140" s="103"/>
      <c r="R140" s="103"/>
      <c r="S140" s="100">
        <f>(E140+H140)*30%</f>
        <v>1.059</v>
      </c>
      <c r="T140" s="100">
        <f>(E140+H140)*10%</f>
        <v>0.35300000000000004</v>
      </c>
      <c r="U140" s="103"/>
      <c r="V140" s="100">
        <f>(E140+H140)*22.5%</f>
        <v>0.7942500000000001</v>
      </c>
      <c r="W140" s="101">
        <f>D140*12*1490000</f>
        <v>162417450</v>
      </c>
      <c r="X140" s="104"/>
    </row>
    <row r="141" spans="1:24" s="139" customFormat="1" ht="29.25" customHeight="1">
      <c r="A141" s="98" t="s">
        <v>194</v>
      </c>
      <c r="B141" s="199" t="s">
        <v>78</v>
      </c>
      <c r="C141" s="73"/>
      <c r="D141" s="100">
        <f>E141+F141+V141</f>
        <v>10.752500000000001</v>
      </c>
      <c r="E141" s="200">
        <v>3.99</v>
      </c>
      <c r="F141" s="100">
        <f>SUM(G141:U141)</f>
        <v>5.831</v>
      </c>
      <c r="G141" s="100">
        <v>0.7</v>
      </c>
      <c r="H141" s="201">
        <v>0.15</v>
      </c>
      <c r="I141" s="73"/>
      <c r="J141" s="100">
        <f>(E141+H141)*50%</f>
        <v>2.0700000000000003</v>
      </c>
      <c r="K141" s="73"/>
      <c r="L141" s="73"/>
      <c r="M141" s="73"/>
      <c r="N141" s="100">
        <f>(E141+H141)*25%</f>
        <v>1.0350000000000001</v>
      </c>
      <c r="O141" s="73"/>
      <c r="P141" s="73"/>
      <c r="Q141" s="73"/>
      <c r="R141" s="73"/>
      <c r="S141" s="100">
        <f>(E141+H141)*30%</f>
        <v>1.2420000000000002</v>
      </c>
      <c r="T141" s="100">
        <f>(E141+H141)*10%</f>
        <v>0.4140000000000001</v>
      </c>
      <c r="U141" s="73">
        <v>0.22</v>
      </c>
      <c r="V141" s="100">
        <f>(E141+H141)*22.5%</f>
        <v>0.9315000000000001</v>
      </c>
      <c r="W141" s="101">
        <f>D141*12*1490000</f>
        <v>192254700.00000003</v>
      </c>
      <c r="X141" s="104"/>
    </row>
    <row r="142" spans="1:24" s="139" customFormat="1" ht="29.25" customHeight="1">
      <c r="A142" s="98" t="s">
        <v>193</v>
      </c>
      <c r="B142" s="99" t="s">
        <v>280</v>
      </c>
      <c r="C142" s="73"/>
      <c r="D142" s="100">
        <f>E142+F142+V142</f>
        <v>2.8665</v>
      </c>
      <c r="E142" s="100">
        <v>2.34</v>
      </c>
      <c r="F142" s="100">
        <f>SUM(G142:U142)</f>
        <v>0</v>
      </c>
      <c r="G142" s="100">
        <v>0</v>
      </c>
      <c r="H142" s="73">
        <v>0</v>
      </c>
      <c r="I142" s="73"/>
      <c r="J142" s="100"/>
      <c r="K142" s="73"/>
      <c r="L142" s="73"/>
      <c r="M142" s="73"/>
      <c r="N142" s="100"/>
      <c r="O142" s="73"/>
      <c r="P142" s="73"/>
      <c r="Q142" s="73"/>
      <c r="R142" s="73"/>
      <c r="S142" s="100"/>
      <c r="T142" s="73"/>
      <c r="U142" s="73"/>
      <c r="V142" s="100">
        <f>(E142+H142)*22.5%</f>
        <v>0.5265</v>
      </c>
      <c r="W142" s="101">
        <f>D142*11*1490000</f>
        <v>46981935</v>
      </c>
      <c r="X142" s="104"/>
    </row>
    <row r="143" spans="1:24" s="140" customFormat="1" ht="29.25" customHeight="1">
      <c r="A143" s="98">
        <v>5</v>
      </c>
      <c r="B143" s="99" t="s">
        <v>79</v>
      </c>
      <c r="C143" s="73"/>
      <c r="D143" s="100">
        <f>E143+F143+V143</f>
        <v>5.4775</v>
      </c>
      <c r="E143" s="100">
        <v>2.1</v>
      </c>
      <c r="F143" s="100">
        <f>SUM(G143:U143)</f>
        <v>2.905</v>
      </c>
      <c r="G143" s="100">
        <v>0.7</v>
      </c>
      <c r="H143" s="73"/>
      <c r="I143" s="73"/>
      <c r="J143" s="100">
        <f>(E143+H143)*50%</f>
        <v>1.05</v>
      </c>
      <c r="K143" s="73"/>
      <c r="L143" s="73"/>
      <c r="M143" s="73"/>
      <c r="N143" s="100">
        <f>(E143+H143)*25%</f>
        <v>0.525</v>
      </c>
      <c r="O143" s="73"/>
      <c r="P143" s="73"/>
      <c r="Q143" s="73"/>
      <c r="R143" s="73"/>
      <c r="S143" s="100">
        <f>(E143+H143)*30%</f>
        <v>0.63</v>
      </c>
      <c r="T143" s="73"/>
      <c r="U143" s="73"/>
      <c r="V143" s="100">
        <f>(E143+H143)*22.5%</f>
        <v>0.47250000000000003</v>
      </c>
      <c r="W143" s="101">
        <f>D143*1*1490000</f>
        <v>8161475</v>
      </c>
      <c r="X143" s="104"/>
    </row>
    <row r="144" spans="1:24" s="49" customFormat="1" ht="29.25" customHeight="1">
      <c r="A144" s="236" t="s">
        <v>287</v>
      </c>
      <c r="B144" s="204" t="s">
        <v>6</v>
      </c>
      <c r="C144" s="93">
        <v>2</v>
      </c>
      <c r="D144" s="205">
        <f>SUM(D145:D146)</f>
        <v>14.077</v>
      </c>
      <c r="E144" s="205">
        <f>SUM(E145:E146)</f>
        <v>6.66</v>
      </c>
      <c r="F144" s="205">
        <f aca="true" t="shared" si="50" ref="F144:V144">SUM(F145:F146)</f>
        <v>5.851</v>
      </c>
      <c r="G144" s="205">
        <f t="shared" si="50"/>
        <v>0.7</v>
      </c>
      <c r="H144" s="205">
        <f t="shared" si="50"/>
        <v>0.3</v>
      </c>
      <c r="I144" s="205">
        <f t="shared" si="50"/>
        <v>0</v>
      </c>
      <c r="J144" s="205">
        <f t="shared" si="50"/>
        <v>2.31</v>
      </c>
      <c r="K144" s="205">
        <f t="shared" si="50"/>
        <v>0</v>
      </c>
      <c r="L144" s="205">
        <f t="shared" si="50"/>
        <v>0</v>
      </c>
      <c r="M144" s="205">
        <f t="shared" si="50"/>
        <v>0</v>
      </c>
      <c r="N144" s="205">
        <f aca="true" t="shared" si="51" ref="N144:S144">SUM(N145:N146)</f>
        <v>1.155</v>
      </c>
      <c r="O144" s="205">
        <f t="shared" si="51"/>
        <v>0</v>
      </c>
      <c r="P144" s="205">
        <f t="shared" si="51"/>
        <v>0</v>
      </c>
      <c r="Q144" s="205">
        <f t="shared" si="51"/>
        <v>0</v>
      </c>
      <c r="R144" s="205">
        <f t="shared" si="51"/>
        <v>0</v>
      </c>
      <c r="S144" s="205">
        <f t="shared" si="51"/>
        <v>1.386</v>
      </c>
      <c r="T144" s="205">
        <f t="shared" si="50"/>
        <v>0</v>
      </c>
      <c r="U144" s="205">
        <f t="shared" si="50"/>
        <v>0</v>
      </c>
      <c r="V144" s="205">
        <f t="shared" si="50"/>
        <v>1.566</v>
      </c>
      <c r="W144" s="205">
        <f>SUM(W145:W146)</f>
        <v>251696760.00000003</v>
      </c>
      <c r="X144" s="206"/>
    </row>
    <row r="145" spans="1:29" s="140" customFormat="1" ht="29.25" customHeight="1">
      <c r="A145" s="98" t="s">
        <v>278</v>
      </c>
      <c r="B145" s="202" t="s">
        <v>32</v>
      </c>
      <c r="C145" s="73"/>
      <c r="D145" s="100">
        <f>E145+F145+V145</f>
        <v>11.2105</v>
      </c>
      <c r="E145" s="203">
        <v>4.32</v>
      </c>
      <c r="F145" s="100">
        <f>SUM(G145:U145)</f>
        <v>5.851</v>
      </c>
      <c r="G145" s="100">
        <v>0.7</v>
      </c>
      <c r="H145" s="198">
        <v>0.3</v>
      </c>
      <c r="I145" s="100"/>
      <c r="J145" s="100">
        <f>(E145+H145)*50%</f>
        <v>2.31</v>
      </c>
      <c r="K145" s="100"/>
      <c r="L145" s="100"/>
      <c r="M145" s="100"/>
      <c r="N145" s="100">
        <f>(E145+H145)*25%</f>
        <v>1.155</v>
      </c>
      <c r="O145" s="100"/>
      <c r="P145" s="100"/>
      <c r="Q145" s="100"/>
      <c r="R145" s="100"/>
      <c r="S145" s="100">
        <f>(E145+H145)*30%</f>
        <v>1.386</v>
      </c>
      <c r="T145" s="100"/>
      <c r="U145" s="100"/>
      <c r="V145" s="100">
        <f>(E145+H145)*22.5%</f>
        <v>1.0395</v>
      </c>
      <c r="W145" s="101">
        <f>D145*12*1490000</f>
        <v>200443740.00000003</v>
      </c>
      <c r="X145" s="100"/>
      <c r="Y145" s="825"/>
      <c r="Z145" s="826"/>
      <c r="AA145" s="826"/>
      <c r="AB145" s="826"/>
      <c r="AC145" s="826"/>
    </row>
    <row r="146" spans="1:24" s="140" customFormat="1" ht="29.25" customHeight="1">
      <c r="A146" s="98">
        <v>2</v>
      </c>
      <c r="B146" s="99" t="s">
        <v>280</v>
      </c>
      <c r="C146" s="73"/>
      <c r="D146" s="100">
        <f>E146+F146+V146</f>
        <v>2.8665</v>
      </c>
      <c r="E146" s="100">
        <v>2.34</v>
      </c>
      <c r="F146" s="100">
        <f>SUM(G146:U146)</f>
        <v>0</v>
      </c>
      <c r="G146" s="100">
        <v>0</v>
      </c>
      <c r="H146" s="73">
        <v>0</v>
      </c>
      <c r="I146" s="73"/>
      <c r="J146" s="100">
        <v>0</v>
      </c>
      <c r="K146" s="73"/>
      <c r="L146" s="73"/>
      <c r="M146" s="73"/>
      <c r="N146" s="73"/>
      <c r="O146" s="73"/>
      <c r="P146" s="73"/>
      <c r="Q146" s="73"/>
      <c r="R146" s="73"/>
      <c r="S146" s="73"/>
      <c r="T146" s="73"/>
      <c r="U146" s="73"/>
      <c r="V146" s="100">
        <f>(E146+H146)*22.5%</f>
        <v>0.5265</v>
      </c>
      <c r="W146" s="101">
        <f>D146*12*1490000</f>
        <v>51253019.99999999</v>
      </c>
      <c r="X146" s="104"/>
    </row>
    <row r="147" spans="1:24" s="28" customFormat="1" ht="29.25" customHeight="1">
      <c r="A147" s="190" t="s">
        <v>288</v>
      </c>
      <c r="B147" s="191" t="s">
        <v>283</v>
      </c>
      <c r="C147" s="192">
        <v>2</v>
      </c>
      <c r="D147" s="192">
        <f aca="true" t="shared" si="52" ref="D147:U147">SUM(D148:D150)</f>
        <v>25.82825</v>
      </c>
      <c r="E147" s="192">
        <f t="shared" si="52"/>
        <v>9.629999999999999</v>
      </c>
      <c r="F147" s="192">
        <f t="shared" si="52"/>
        <v>13.8515</v>
      </c>
      <c r="G147" s="192">
        <f t="shared" si="52"/>
        <v>2.0999999999999996</v>
      </c>
      <c r="H147" s="192">
        <f t="shared" si="52"/>
        <v>0.8</v>
      </c>
      <c r="I147" s="192">
        <f t="shared" si="52"/>
        <v>0</v>
      </c>
      <c r="J147" s="192">
        <f t="shared" si="52"/>
        <v>5.215</v>
      </c>
      <c r="K147" s="192">
        <f t="shared" si="52"/>
        <v>0</v>
      </c>
      <c r="L147" s="192">
        <f t="shared" si="52"/>
        <v>0</v>
      </c>
      <c r="M147" s="192">
        <f t="shared" si="52"/>
        <v>0</v>
      </c>
      <c r="N147" s="192">
        <f t="shared" si="52"/>
        <v>2.6075</v>
      </c>
      <c r="O147" s="192">
        <f t="shared" si="52"/>
        <v>0</v>
      </c>
      <c r="P147" s="192">
        <f t="shared" si="52"/>
        <v>0</v>
      </c>
      <c r="Q147" s="192">
        <f t="shared" si="52"/>
        <v>0</v>
      </c>
      <c r="R147" s="192">
        <f t="shared" si="52"/>
        <v>0</v>
      </c>
      <c r="S147" s="192">
        <f t="shared" si="52"/>
        <v>3.1289999999999996</v>
      </c>
      <c r="T147" s="192">
        <f t="shared" si="52"/>
        <v>0</v>
      </c>
      <c r="U147" s="192">
        <f t="shared" si="52"/>
        <v>0</v>
      </c>
      <c r="V147" s="228">
        <f>SUM(V148:V150)</f>
        <v>2.34675</v>
      </c>
      <c r="W147" s="228">
        <f>SUM(W148:W150)</f>
        <v>289127422.5</v>
      </c>
      <c r="X147" s="219"/>
    </row>
    <row r="148" spans="1:29" s="214" customFormat="1" ht="15.75">
      <c r="A148" s="207" t="s">
        <v>278</v>
      </c>
      <c r="B148" s="208" t="s">
        <v>33</v>
      </c>
      <c r="C148" s="209"/>
      <c r="D148" s="210">
        <f>E148+F148+V148</f>
        <v>7.4567499999999995</v>
      </c>
      <c r="E148" s="211">
        <v>2.67</v>
      </c>
      <c r="F148" s="210">
        <f>SUM(G148:U148)</f>
        <v>4.1185</v>
      </c>
      <c r="G148" s="210">
        <v>0.7</v>
      </c>
      <c r="H148" s="212">
        <v>0.3</v>
      </c>
      <c r="I148" s="210"/>
      <c r="J148" s="210">
        <f>(E148+H148)*50%</f>
        <v>1.4849999999999999</v>
      </c>
      <c r="K148" s="210"/>
      <c r="L148" s="210"/>
      <c r="M148" s="210"/>
      <c r="N148" s="210">
        <f>(E148+H148)*25%</f>
        <v>0.7424999999999999</v>
      </c>
      <c r="O148" s="210"/>
      <c r="P148" s="210"/>
      <c r="Q148" s="210"/>
      <c r="R148" s="210"/>
      <c r="S148" s="210">
        <f>(E148+H148)*30%</f>
        <v>0.8909999999999999</v>
      </c>
      <c r="T148" s="210"/>
      <c r="U148" s="210"/>
      <c r="V148" s="210">
        <f>(E148+H148)*22.5%</f>
        <v>0.66825</v>
      </c>
      <c r="W148" s="213">
        <f>D148*9*1490000</f>
        <v>99995017.5</v>
      </c>
      <c r="X148" s="210"/>
      <c r="Y148" s="827"/>
      <c r="Z148" s="828"/>
      <c r="AA148" s="828"/>
      <c r="AB148" s="828"/>
      <c r="AC148" s="828"/>
    </row>
    <row r="149" spans="1:25" s="214" customFormat="1" ht="15.75">
      <c r="A149" s="207"/>
      <c r="B149" s="208" t="s">
        <v>27</v>
      </c>
      <c r="C149" s="209"/>
      <c r="D149" s="210">
        <f>E149+F149+V149</f>
        <v>10.3915</v>
      </c>
      <c r="E149" s="211">
        <v>3.96</v>
      </c>
      <c r="F149" s="210">
        <f>SUM(G149:U149)</f>
        <v>5.473</v>
      </c>
      <c r="G149" s="210">
        <v>0.7</v>
      </c>
      <c r="H149" s="212">
        <v>0.3</v>
      </c>
      <c r="I149" s="210"/>
      <c r="J149" s="210">
        <f>(E149+H149)*50%</f>
        <v>2.13</v>
      </c>
      <c r="K149" s="210"/>
      <c r="L149" s="210"/>
      <c r="M149" s="210"/>
      <c r="N149" s="210">
        <f>(E149+H149)*25%</f>
        <v>1.065</v>
      </c>
      <c r="O149" s="210"/>
      <c r="P149" s="210"/>
      <c r="Q149" s="210"/>
      <c r="R149" s="210"/>
      <c r="S149" s="210">
        <f>(E149+H149)*30%</f>
        <v>1.2779999999999998</v>
      </c>
      <c r="T149" s="210"/>
      <c r="U149" s="210"/>
      <c r="V149" s="210">
        <f>(E149+H149)*22.5%</f>
        <v>0.9585</v>
      </c>
      <c r="W149" s="213">
        <f>D149*1490000*3</f>
        <v>46450005</v>
      </c>
      <c r="X149" s="210"/>
      <c r="Y149" s="226"/>
    </row>
    <row r="150" spans="1:24" s="214" customFormat="1" ht="15.75">
      <c r="A150" s="207" t="s">
        <v>195</v>
      </c>
      <c r="B150" s="208" t="s">
        <v>282</v>
      </c>
      <c r="C150" s="215"/>
      <c r="D150" s="210">
        <f>E150+F150+V150</f>
        <v>7.9799999999999995</v>
      </c>
      <c r="E150" s="211">
        <v>3</v>
      </c>
      <c r="F150" s="210">
        <f>SUM(G150:U150)</f>
        <v>4.26</v>
      </c>
      <c r="G150" s="210">
        <v>0.7</v>
      </c>
      <c r="H150" s="212">
        <v>0.2</v>
      </c>
      <c r="I150" s="216"/>
      <c r="J150" s="210">
        <f>(E150+H150)*50%</f>
        <v>1.6</v>
      </c>
      <c r="K150" s="216"/>
      <c r="L150" s="216"/>
      <c r="M150" s="216"/>
      <c r="N150" s="210">
        <f>(E150+H150)*25%</f>
        <v>0.8</v>
      </c>
      <c r="O150" s="216"/>
      <c r="P150" s="216"/>
      <c r="Q150" s="216"/>
      <c r="R150" s="216"/>
      <c r="S150" s="210">
        <f>(E150+H150)*30%</f>
        <v>0.96</v>
      </c>
      <c r="T150" s="210"/>
      <c r="U150" s="216"/>
      <c r="V150" s="210">
        <f>(E150+H150)*22.5%</f>
        <v>0.7200000000000001</v>
      </c>
      <c r="W150" s="213">
        <f>D150*12*1490000</f>
        <v>142682400</v>
      </c>
      <c r="X150" s="217"/>
    </row>
    <row r="151" spans="1:24" s="28" customFormat="1" ht="29.25" customHeight="1">
      <c r="A151" s="190" t="s">
        <v>289</v>
      </c>
      <c r="B151" s="191" t="s">
        <v>67</v>
      </c>
      <c r="C151" s="218">
        <v>1</v>
      </c>
      <c r="D151" s="192">
        <f>D152</f>
        <v>8.958250000000001</v>
      </c>
      <c r="E151" s="192">
        <f aca="true" t="shared" si="53" ref="E151:V151">E152</f>
        <v>3.33</v>
      </c>
      <c r="F151" s="192">
        <f t="shared" si="53"/>
        <v>4.8115000000000006</v>
      </c>
      <c r="G151" s="192">
        <f t="shared" si="53"/>
        <v>0.7</v>
      </c>
      <c r="H151" s="192">
        <f t="shared" si="53"/>
        <v>0.3</v>
      </c>
      <c r="I151" s="192">
        <f t="shared" si="53"/>
        <v>0</v>
      </c>
      <c r="J151" s="192">
        <f t="shared" si="53"/>
        <v>1.815</v>
      </c>
      <c r="K151" s="192">
        <f t="shared" si="53"/>
        <v>0</v>
      </c>
      <c r="L151" s="192">
        <f t="shared" si="53"/>
        <v>0</v>
      </c>
      <c r="M151" s="192">
        <f t="shared" si="53"/>
        <v>0</v>
      </c>
      <c r="N151" s="192">
        <f t="shared" si="53"/>
        <v>0.9075</v>
      </c>
      <c r="O151" s="192">
        <f t="shared" si="53"/>
        <v>0</v>
      </c>
      <c r="P151" s="192">
        <f t="shared" si="53"/>
        <v>0</v>
      </c>
      <c r="Q151" s="192">
        <f t="shared" si="53"/>
        <v>0</v>
      </c>
      <c r="R151" s="192">
        <f t="shared" si="53"/>
        <v>0</v>
      </c>
      <c r="S151" s="192">
        <f t="shared" si="53"/>
        <v>1.089</v>
      </c>
      <c r="T151" s="192">
        <f t="shared" si="53"/>
        <v>0</v>
      </c>
      <c r="U151" s="192">
        <f t="shared" si="53"/>
        <v>0</v>
      </c>
      <c r="V151" s="192">
        <f t="shared" si="53"/>
        <v>0.81675</v>
      </c>
      <c r="W151" s="192">
        <f>W152</f>
        <v>160173510.00000003</v>
      </c>
      <c r="X151" s="219"/>
    </row>
    <row r="152" spans="1:29" s="140" customFormat="1" ht="12.75">
      <c r="A152" s="98" t="s">
        <v>278</v>
      </c>
      <c r="B152" s="199" t="s">
        <v>66</v>
      </c>
      <c r="C152" s="73"/>
      <c r="D152" s="100">
        <f>E152+F152+V152</f>
        <v>8.958250000000001</v>
      </c>
      <c r="E152" s="197">
        <v>3.33</v>
      </c>
      <c r="F152" s="100">
        <f>SUM(G152:U152)</f>
        <v>4.8115000000000006</v>
      </c>
      <c r="G152" s="100">
        <v>0.7</v>
      </c>
      <c r="H152" s="198">
        <v>0.3</v>
      </c>
      <c r="I152" s="100"/>
      <c r="J152" s="100">
        <f>(E152+H152)*50%</f>
        <v>1.815</v>
      </c>
      <c r="K152" s="100"/>
      <c r="L152" s="100"/>
      <c r="M152" s="100"/>
      <c r="N152" s="100">
        <f>(E152+H152)*25%</f>
        <v>0.9075</v>
      </c>
      <c r="O152" s="100"/>
      <c r="P152" s="100"/>
      <c r="Q152" s="100"/>
      <c r="R152" s="100"/>
      <c r="S152" s="100">
        <f>(E152+H152)*30%</f>
        <v>1.089</v>
      </c>
      <c r="T152" s="100"/>
      <c r="U152" s="100"/>
      <c r="V152" s="100">
        <f>(E152+H152)*22.5%</f>
        <v>0.81675</v>
      </c>
      <c r="W152" s="101">
        <f>D152*12*1490000</f>
        <v>160173510.00000003</v>
      </c>
      <c r="X152" s="100"/>
      <c r="Y152" s="825"/>
      <c r="Z152" s="826"/>
      <c r="AA152" s="826"/>
      <c r="AB152" s="826"/>
      <c r="AC152" s="826"/>
    </row>
    <row r="153" spans="1:24" s="28" customFormat="1" ht="29.25" customHeight="1">
      <c r="A153" s="190" t="s">
        <v>290</v>
      </c>
      <c r="B153" s="191" t="s">
        <v>70</v>
      </c>
      <c r="C153" s="218">
        <v>3</v>
      </c>
      <c r="D153" s="192">
        <f>SUM(D154:D158)</f>
        <v>29.053499999999996</v>
      </c>
      <c r="E153" s="192">
        <f aca="true" t="shared" si="54" ref="E153:V153">SUM(E154:E158)</f>
        <v>12.12</v>
      </c>
      <c r="F153" s="192">
        <f t="shared" si="54"/>
        <v>14.094000000000001</v>
      </c>
      <c r="G153" s="192">
        <f t="shared" si="54"/>
        <v>2.8</v>
      </c>
      <c r="H153" s="192">
        <f t="shared" si="54"/>
        <v>0.5</v>
      </c>
      <c r="I153" s="192">
        <f t="shared" si="54"/>
        <v>0</v>
      </c>
      <c r="J153" s="192">
        <f t="shared" si="54"/>
        <v>5.140000000000001</v>
      </c>
      <c r="K153" s="192">
        <f t="shared" si="54"/>
        <v>0</v>
      </c>
      <c r="L153" s="192">
        <f t="shared" si="54"/>
        <v>0</v>
      </c>
      <c r="M153" s="192">
        <f t="shared" si="54"/>
        <v>0</v>
      </c>
      <c r="N153" s="192">
        <f t="shared" si="54"/>
        <v>2.5700000000000003</v>
      </c>
      <c r="O153" s="192">
        <f t="shared" si="54"/>
        <v>0</v>
      </c>
      <c r="P153" s="192">
        <f t="shared" si="54"/>
        <v>0</v>
      </c>
      <c r="Q153" s="192">
        <f t="shared" si="54"/>
        <v>0</v>
      </c>
      <c r="R153" s="192">
        <f t="shared" si="54"/>
        <v>0</v>
      </c>
      <c r="S153" s="192">
        <f t="shared" si="54"/>
        <v>3.0839999999999996</v>
      </c>
      <c r="T153" s="192">
        <f t="shared" si="54"/>
        <v>0</v>
      </c>
      <c r="U153" s="192">
        <f t="shared" si="54"/>
        <v>0</v>
      </c>
      <c r="V153" s="192">
        <f t="shared" si="54"/>
        <v>2.8395</v>
      </c>
      <c r="W153" s="192">
        <f>SUM(W154:W158)</f>
        <v>277662245</v>
      </c>
      <c r="X153" s="219"/>
    </row>
    <row r="154" spans="1:29" s="140" customFormat="1" ht="30.75" customHeight="1">
      <c r="A154" s="220" t="s">
        <v>278</v>
      </c>
      <c r="B154" s="221" t="s">
        <v>284</v>
      </c>
      <c r="C154" s="73"/>
      <c r="D154" s="100">
        <f>E154+F154+V154</f>
        <v>5.9325</v>
      </c>
      <c r="E154" s="222">
        <v>2.1</v>
      </c>
      <c r="F154" s="100">
        <f>SUM(G154:U154)</f>
        <v>3.315</v>
      </c>
      <c r="G154" s="100">
        <v>0.7</v>
      </c>
      <c r="H154" s="198">
        <v>0.2</v>
      </c>
      <c r="I154" s="100"/>
      <c r="J154" s="100">
        <f>(E154+H154)*50%</f>
        <v>1.1500000000000001</v>
      </c>
      <c r="K154" s="100"/>
      <c r="L154" s="100"/>
      <c r="M154" s="100"/>
      <c r="N154" s="100">
        <f>(E154+H154)*25%</f>
        <v>0.5750000000000001</v>
      </c>
      <c r="O154" s="100"/>
      <c r="P154" s="100"/>
      <c r="Q154" s="100"/>
      <c r="R154" s="100"/>
      <c r="S154" s="100">
        <f>(E154+H154)*30%</f>
        <v>0.6900000000000001</v>
      </c>
      <c r="T154" s="100"/>
      <c r="U154" s="100"/>
      <c r="V154" s="100">
        <f>(E154+H154)*22.5%</f>
        <v>0.5175000000000001</v>
      </c>
      <c r="W154" s="101">
        <f>D154*12*1490000</f>
        <v>106073100</v>
      </c>
      <c r="X154" s="100"/>
      <c r="Y154" s="825"/>
      <c r="Z154" s="826"/>
      <c r="AA154" s="826"/>
      <c r="AB154" s="826"/>
      <c r="AC154" s="826"/>
    </row>
    <row r="155" spans="1:24" s="140" customFormat="1" ht="30.75" customHeight="1">
      <c r="A155" s="220" t="s">
        <v>195</v>
      </c>
      <c r="B155" s="221" t="s">
        <v>93</v>
      </c>
      <c r="C155" s="102"/>
      <c r="D155" s="100">
        <f>E155+F155+V155</f>
        <v>6.0235</v>
      </c>
      <c r="E155" s="222">
        <v>2.34</v>
      </c>
      <c r="F155" s="100">
        <f>SUM(G155:U155)</f>
        <v>3.157</v>
      </c>
      <c r="G155" s="100">
        <v>0.7</v>
      </c>
      <c r="H155" s="198"/>
      <c r="I155" s="103"/>
      <c r="J155" s="100">
        <f>(E155+H155)*50%</f>
        <v>1.17</v>
      </c>
      <c r="K155" s="103"/>
      <c r="L155" s="103"/>
      <c r="M155" s="103"/>
      <c r="N155" s="100">
        <f>(E155+H155)*25%</f>
        <v>0.585</v>
      </c>
      <c r="O155" s="100"/>
      <c r="P155" s="103"/>
      <c r="Q155" s="103"/>
      <c r="R155" s="103"/>
      <c r="S155" s="100">
        <f>(E155+H155)*30%</f>
        <v>0.702</v>
      </c>
      <c r="T155" s="100"/>
      <c r="U155" s="103"/>
      <c r="V155" s="100">
        <f>(E155+H155)*22.5%</f>
        <v>0.5265</v>
      </c>
      <c r="W155" s="101">
        <f>D155*1*1490000</f>
        <v>8975015</v>
      </c>
      <c r="X155" s="104"/>
    </row>
    <row r="156" spans="1:24" s="140" customFormat="1" ht="30.75" customHeight="1">
      <c r="A156" s="220"/>
      <c r="B156" s="221" t="s">
        <v>93</v>
      </c>
      <c r="C156" s="102"/>
      <c r="D156" s="100">
        <f>E156+F156+V156</f>
        <v>6.774249999999999</v>
      </c>
      <c r="E156" s="223">
        <v>2.67</v>
      </c>
      <c r="F156" s="100">
        <f>SUM(G156:U156)</f>
        <v>3.5035</v>
      </c>
      <c r="G156" s="100">
        <v>0.7</v>
      </c>
      <c r="H156" s="224"/>
      <c r="I156" s="103"/>
      <c r="J156" s="100">
        <f>(E156+H156)*50%</f>
        <v>1.335</v>
      </c>
      <c r="K156" s="103"/>
      <c r="L156" s="103"/>
      <c r="M156" s="103"/>
      <c r="N156" s="100">
        <f>(E156+H156)*25%</f>
        <v>0.6675</v>
      </c>
      <c r="O156" s="103"/>
      <c r="P156" s="103"/>
      <c r="Q156" s="103"/>
      <c r="R156" s="103"/>
      <c r="S156" s="100">
        <f>(E156+H156)*30%</f>
        <v>0.8009999999999999</v>
      </c>
      <c r="T156" s="100"/>
      <c r="U156" s="103"/>
      <c r="V156" s="100">
        <f>(E156+H156)*22.5%</f>
        <v>0.60075</v>
      </c>
      <c r="W156" s="101">
        <f>D156*9*1490000</f>
        <v>90842692.5</v>
      </c>
      <c r="X156" s="225"/>
    </row>
    <row r="157" spans="1:24" s="140" customFormat="1" ht="30.75" customHeight="1">
      <c r="A157" s="220">
        <v>3</v>
      </c>
      <c r="B157" s="221" t="s">
        <v>280</v>
      </c>
      <c r="C157" s="73"/>
      <c r="D157" s="100">
        <f>E157+F157+V157</f>
        <v>2.8665</v>
      </c>
      <c r="E157" s="100">
        <v>2.34</v>
      </c>
      <c r="F157" s="100">
        <f>SUM(G157:U157)</f>
        <v>0</v>
      </c>
      <c r="G157" s="100">
        <v>0</v>
      </c>
      <c r="H157" s="73">
        <v>0</v>
      </c>
      <c r="I157" s="73"/>
      <c r="J157" s="100">
        <v>0</v>
      </c>
      <c r="K157" s="73"/>
      <c r="L157" s="73"/>
      <c r="M157" s="73"/>
      <c r="N157" s="73"/>
      <c r="O157" s="73"/>
      <c r="P157" s="73"/>
      <c r="Q157" s="73"/>
      <c r="R157" s="73"/>
      <c r="S157" s="100"/>
      <c r="T157" s="73"/>
      <c r="U157" s="73"/>
      <c r="V157" s="100">
        <f>(E157+H157)*22.5%</f>
        <v>0.5265</v>
      </c>
      <c r="W157" s="101">
        <f>D157*9*1490000</f>
        <v>38439764.99999999</v>
      </c>
      <c r="X157" s="104"/>
    </row>
    <row r="158" spans="1:24" ht="30.75" customHeight="1">
      <c r="A158" s="233"/>
      <c r="B158" s="230" t="s">
        <v>18</v>
      </c>
      <c r="C158" s="231"/>
      <c r="D158" s="100">
        <f>E158+F158+V158</f>
        <v>7.4567499999999995</v>
      </c>
      <c r="E158" s="231">
        <v>2.67</v>
      </c>
      <c r="F158" s="100">
        <f>SUM(G158:U158)</f>
        <v>4.1185</v>
      </c>
      <c r="G158" s="231">
        <v>0.7</v>
      </c>
      <c r="H158" s="231">
        <v>0.3</v>
      </c>
      <c r="I158" s="231"/>
      <c r="J158" s="231">
        <f>(E158+H158)*50%</f>
        <v>1.4849999999999999</v>
      </c>
      <c r="K158" s="231"/>
      <c r="L158" s="231"/>
      <c r="M158" s="231"/>
      <c r="N158" s="231">
        <f>(E158+H158)*25%</f>
        <v>0.7424999999999999</v>
      </c>
      <c r="O158" s="231"/>
      <c r="P158" s="231"/>
      <c r="Q158" s="231"/>
      <c r="R158" s="231"/>
      <c r="S158" s="100">
        <f>(E158+H158)*30%</f>
        <v>0.8909999999999999</v>
      </c>
      <c r="T158" s="231"/>
      <c r="U158" s="231"/>
      <c r="V158" s="100">
        <f>(E158+H158)*22.5%</f>
        <v>0.66825</v>
      </c>
      <c r="W158" s="232">
        <f>D158*1490000*3</f>
        <v>33331672.5</v>
      </c>
      <c r="X158" s="229"/>
    </row>
  </sheetData>
  <sheetProtection/>
  <mergeCells count="32">
    <mergeCell ref="C7:C9"/>
    <mergeCell ref="D7:V7"/>
    <mergeCell ref="W7:W9"/>
    <mergeCell ref="X7:X9"/>
    <mergeCell ref="D8:D9"/>
    <mergeCell ref="Y139:AC139"/>
    <mergeCell ref="Y32:AC32"/>
    <mergeCell ref="E8:E9"/>
    <mergeCell ref="F8:F9"/>
    <mergeCell ref="G8:U8"/>
    <mergeCell ref="Y145:AC145"/>
    <mergeCell ref="Y148:AC148"/>
    <mergeCell ref="Y152:AC152"/>
    <mergeCell ref="Y154:AC154"/>
    <mergeCell ref="V8:V9"/>
    <mergeCell ref="A2:C2"/>
    <mergeCell ref="A4:X4"/>
    <mergeCell ref="A5:X5"/>
    <mergeCell ref="A7:A9"/>
    <mergeCell ref="B7:B9"/>
    <mergeCell ref="A99:A100"/>
    <mergeCell ref="B99:B100"/>
    <mergeCell ref="A101:A103"/>
    <mergeCell ref="B101:B103"/>
    <mergeCell ref="A104:A105"/>
    <mergeCell ref="B104:B105"/>
    <mergeCell ref="A114:A116"/>
    <mergeCell ref="B114:B116"/>
    <mergeCell ref="A121:A122"/>
    <mergeCell ref="B121:B122"/>
    <mergeCell ref="A130:A131"/>
    <mergeCell ref="B130:B13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4" sqref="A4"/>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D447"/>
  <sheetViews>
    <sheetView zoomScale="90" zoomScaleNormal="90" zoomScalePageLayoutView="0" workbookViewId="0" topLeftCell="E262">
      <selection activeCell="AA282" sqref="AA282"/>
    </sheetView>
  </sheetViews>
  <sheetFormatPr defaultColWidth="9.140625" defaultRowHeight="15"/>
  <cols>
    <col min="1" max="1" width="4.00390625" style="0" customWidth="1"/>
    <col min="2" max="2" width="26.421875" style="0" customWidth="1"/>
    <col min="5" max="24" width="7.7109375" style="0" customWidth="1"/>
    <col min="25" max="25" width="16.00390625" style="0" customWidth="1"/>
    <col min="26" max="26" width="14.8515625" style="0" customWidth="1"/>
    <col min="27" max="27" width="15.00390625" style="0" bestFit="1" customWidth="1"/>
    <col min="28" max="28" width="13.28125" style="0" bestFit="1" customWidth="1"/>
  </cols>
  <sheetData>
    <row r="1" spans="1:30" ht="15">
      <c r="A1" s="24" t="s">
        <v>1</v>
      </c>
      <c r="B1" s="25"/>
      <c r="C1" s="483"/>
      <c r="D1" s="483"/>
      <c r="E1" s="484"/>
      <c r="F1" s="485">
        <f>22+17+21+23+17+20+5+19+15</f>
        <v>159</v>
      </c>
      <c r="G1" s="483">
        <f>3.775*1.49*12</f>
        <v>67.497</v>
      </c>
      <c r="H1" s="483"/>
      <c r="I1" s="484"/>
      <c r="J1" s="483"/>
      <c r="K1" s="483"/>
      <c r="L1" s="483"/>
      <c r="M1" s="483"/>
      <c r="N1" s="483"/>
      <c r="O1" s="483"/>
      <c r="P1" s="483"/>
      <c r="Q1" s="483"/>
      <c r="R1" s="483"/>
      <c r="S1" s="485"/>
      <c r="T1" s="483"/>
      <c r="U1" s="483"/>
      <c r="V1" s="483"/>
      <c r="W1" s="483"/>
      <c r="X1" s="483"/>
      <c r="Y1" s="486"/>
      <c r="Z1" s="487"/>
      <c r="AA1" s="24">
        <f>+-4331+7011+1457</f>
        <v>4137</v>
      </c>
      <c r="AB1" s="24">
        <v>2.41</v>
      </c>
      <c r="AC1" s="24"/>
      <c r="AD1" s="24"/>
    </row>
    <row r="2" spans="1:30" ht="15">
      <c r="A2" s="809" t="s">
        <v>221</v>
      </c>
      <c r="B2" s="809"/>
      <c r="C2" s="809"/>
      <c r="D2" s="809"/>
      <c r="E2" s="809"/>
      <c r="F2" s="809"/>
      <c r="G2" s="809"/>
      <c r="H2" s="809"/>
      <c r="I2" s="809"/>
      <c r="J2" s="809"/>
      <c r="K2" s="809"/>
      <c r="L2" s="809"/>
      <c r="M2" s="809"/>
      <c r="N2" s="809"/>
      <c r="O2" s="809"/>
      <c r="P2" s="809"/>
      <c r="Q2" s="809"/>
      <c r="R2" s="809"/>
      <c r="S2" s="809"/>
      <c r="T2" s="488"/>
      <c r="U2" s="488"/>
      <c r="V2" s="488"/>
      <c r="W2" s="488"/>
      <c r="X2" s="488"/>
      <c r="Y2" s="489"/>
      <c r="Z2" s="27"/>
      <c r="AA2" s="23"/>
      <c r="AB2" s="23"/>
      <c r="AC2" s="23"/>
      <c r="AD2" s="23"/>
    </row>
    <row r="3" spans="1:30" ht="15">
      <c r="A3" s="26"/>
      <c r="B3" s="25"/>
      <c r="C3" s="484"/>
      <c r="D3" s="484"/>
      <c r="E3" s="484"/>
      <c r="F3" s="485"/>
      <c r="G3" s="484"/>
      <c r="H3" s="484"/>
      <c r="I3" s="484"/>
      <c r="J3" s="484"/>
      <c r="K3" s="484"/>
      <c r="L3" s="484"/>
      <c r="M3" s="484"/>
      <c r="N3" s="484"/>
      <c r="O3" s="484"/>
      <c r="P3" s="484"/>
      <c r="Q3" s="484"/>
      <c r="R3" s="484"/>
      <c r="S3" s="484"/>
      <c r="T3" s="484"/>
      <c r="U3" s="484"/>
      <c r="V3" s="484"/>
      <c r="W3" s="484"/>
      <c r="X3" s="484"/>
      <c r="Y3" s="490"/>
      <c r="Z3" s="27"/>
      <c r="AA3" s="23"/>
      <c r="AB3" s="23"/>
      <c r="AC3" s="23"/>
      <c r="AD3" s="23"/>
    </row>
    <row r="4" spans="1:30" ht="15">
      <c r="A4" s="809" t="s">
        <v>220</v>
      </c>
      <c r="B4" s="809"/>
      <c r="C4" s="809"/>
      <c r="D4" s="809"/>
      <c r="E4" s="809"/>
      <c r="F4" s="809"/>
      <c r="G4" s="809"/>
      <c r="H4" s="809"/>
      <c r="I4" s="809"/>
      <c r="J4" s="809"/>
      <c r="K4" s="809"/>
      <c r="L4" s="809"/>
      <c r="M4" s="809"/>
      <c r="N4" s="809"/>
      <c r="O4" s="809"/>
      <c r="P4" s="809"/>
      <c r="Q4" s="809"/>
      <c r="R4" s="809"/>
      <c r="S4" s="810"/>
      <c r="T4" s="809"/>
      <c r="U4" s="809"/>
      <c r="V4" s="809"/>
      <c r="W4" s="809"/>
      <c r="X4" s="809"/>
      <c r="Y4" s="809"/>
      <c r="Z4" s="809"/>
      <c r="AA4" s="23"/>
      <c r="AB4" s="23">
        <f>0.15+0.7</f>
        <v>0.85</v>
      </c>
      <c r="AC4" s="23"/>
      <c r="AD4" s="23"/>
    </row>
    <row r="5" spans="1:30" ht="15">
      <c r="A5" s="811"/>
      <c r="B5" s="811"/>
      <c r="C5" s="811"/>
      <c r="D5" s="811"/>
      <c r="E5" s="811"/>
      <c r="F5" s="811"/>
      <c r="G5" s="811"/>
      <c r="H5" s="811"/>
      <c r="I5" s="811"/>
      <c r="J5" s="811"/>
      <c r="K5" s="811"/>
      <c r="L5" s="811"/>
      <c r="M5" s="811"/>
      <c r="N5" s="811"/>
      <c r="O5" s="811"/>
      <c r="P5" s="811"/>
      <c r="Q5" s="811"/>
      <c r="R5" s="811"/>
      <c r="S5" s="812"/>
      <c r="T5" s="811"/>
      <c r="U5" s="811"/>
      <c r="V5" s="811"/>
      <c r="W5" s="811"/>
      <c r="X5" s="811"/>
      <c r="Y5" s="811"/>
      <c r="Z5" s="811"/>
      <c r="AA5" s="27">
        <f>+Z6-AA6</f>
        <v>10488659980.170738</v>
      </c>
      <c r="AB5" s="23">
        <f>+(0.5+0.25+0.7+0.3)*AB1</f>
        <v>4.2175</v>
      </c>
      <c r="AC5" s="23"/>
      <c r="AD5" s="23"/>
    </row>
    <row r="6" spans="1:30" ht="15">
      <c r="A6" s="26"/>
      <c r="B6" s="25"/>
      <c r="C6" s="484"/>
      <c r="D6" s="484"/>
      <c r="E6" s="484"/>
      <c r="F6" s="485"/>
      <c r="G6" s="484"/>
      <c r="H6" s="484"/>
      <c r="I6" s="484"/>
      <c r="J6" s="484"/>
      <c r="K6" s="484">
        <f>0.015*(3.03+0.2)</f>
        <v>0.04845</v>
      </c>
      <c r="L6" s="484">
        <f>+K6*1490</f>
        <v>72.1905</v>
      </c>
      <c r="M6" s="484">
        <f>+M19*1490</f>
        <v>1661.35</v>
      </c>
      <c r="N6" s="484">
        <f>0.05*1490*2.67</f>
        <v>198.915</v>
      </c>
      <c r="O6" s="484"/>
      <c r="P6" s="484"/>
      <c r="Q6" s="484"/>
      <c r="R6" s="484"/>
      <c r="S6" s="485"/>
      <c r="T6" s="484"/>
      <c r="U6" s="484"/>
      <c r="V6" s="484"/>
      <c r="W6" s="484"/>
      <c r="X6" s="484"/>
      <c r="Y6" s="490"/>
      <c r="Z6" s="491">
        <f>+Y11+'[2]XÃ'!Z343</f>
        <v>55814654894.479996</v>
      </c>
      <c r="AA6" s="23">
        <f>+Z6/1490*1210</f>
        <v>45325994914.30926</v>
      </c>
      <c r="AB6" s="23">
        <f>SUM(AB1:AB5)</f>
        <v>7.477500000000001</v>
      </c>
      <c r="AC6" s="23"/>
      <c r="AD6" s="23"/>
    </row>
    <row r="7" spans="1:30" ht="15">
      <c r="A7" s="847" t="s">
        <v>0</v>
      </c>
      <c r="B7" s="847" t="s">
        <v>219</v>
      </c>
      <c r="C7" s="850" t="s">
        <v>226</v>
      </c>
      <c r="D7" s="850" t="s">
        <v>344</v>
      </c>
      <c r="E7" s="853" t="s">
        <v>345</v>
      </c>
      <c r="F7" s="854"/>
      <c r="G7" s="854"/>
      <c r="H7" s="854"/>
      <c r="I7" s="854"/>
      <c r="J7" s="854"/>
      <c r="K7" s="854"/>
      <c r="L7" s="854"/>
      <c r="M7" s="854"/>
      <c r="N7" s="854"/>
      <c r="O7" s="854"/>
      <c r="P7" s="854"/>
      <c r="Q7" s="854"/>
      <c r="R7" s="854"/>
      <c r="S7" s="855"/>
      <c r="T7" s="854"/>
      <c r="U7" s="854"/>
      <c r="V7" s="854"/>
      <c r="W7" s="854"/>
      <c r="X7" s="856"/>
      <c r="Y7" s="857" t="s">
        <v>215</v>
      </c>
      <c r="Z7" s="860" t="s">
        <v>3</v>
      </c>
      <c r="AA7" s="23"/>
      <c r="AB7" s="23">
        <f>+AB6*1490</f>
        <v>11141.475000000002</v>
      </c>
      <c r="AC7" s="23"/>
      <c r="AD7" s="23"/>
    </row>
    <row r="8" spans="1:30" ht="15">
      <c r="A8" s="848"/>
      <c r="B8" s="848"/>
      <c r="C8" s="851"/>
      <c r="D8" s="851"/>
      <c r="E8" s="850" t="s">
        <v>16</v>
      </c>
      <c r="F8" s="861" t="s">
        <v>214</v>
      </c>
      <c r="G8" s="852" t="s">
        <v>213</v>
      </c>
      <c r="H8" s="864" t="s">
        <v>12</v>
      </c>
      <c r="I8" s="864"/>
      <c r="J8" s="864"/>
      <c r="K8" s="864"/>
      <c r="L8" s="864"/>
      <c r="M8" s="864"/>
      <c r="N8" s="864"/>
      <c r="O8" s="864"/>
      <c r="P8" s="864"/>
      <c r="Q8" s="864"/>
      <c r="R8" s="864"/>
      <c r="S8" s="865"/>
      <c r="T8" s="864"/>
      <c r="U8" s="864"/>
      <c r="V8" s="864"/>
      <c r="W8" s="864"/>
      <c r="X8" s="864"/>
      <c r="Y8" s="858"/>
      <c r="Z8" s="860"/>
      <c r="AA8" s="13"/>
      <c r="AB8" s="13"/>
      <c r="AC8" s="13"/>
      <c r="AD8" s="13"/>
    </row>
    <row r="9" spans="1:30" ht="89.25">
      <c r="A9" s="849"/>
      <c r="B9" s="849"/>
      <c r="C9" s="852"/>
      <c r="D9" s="852"/>
      <c r="E9" s="852"/>
      <c r="F9" s="862"/>
      <c r="G9" s="863"/>
      <c r="H9" s="493" t="s">
        <v>212</v>
      </c>
      <c r="I9" s="493" t="s">
        <v>211</v>
      </c>
      <c r="J9" s="493" t="s">
        <v>210</v>
      </c>
      <c r="K9" s="493" t="s">
        <v>209</v>
      </c>
      <c r="L9" s="493" t="s">
        <v>208</v>
      </c>
      <c r="M9" s="493" t="s">
        <v>207</v>
      </c>
      <c r="N9" s="493" t="s">
        <v>206</v>
      </c>
      <c r="O9" s="493" t="s">
        <v>205</v>
      </c>
      <c r="P9" s="493" t="s">
        <v>204</v>
      </c>
      <c r="Q9" s="493" t="s">
        <v>203</v>
      </c>
      <c r="R9" s="493" t="s">
        <v>202</v>
      </c>
      <c r="S9" s="492" t="s">
        <v>201</v>
      </c>
      <c r="T9" s="493" t="s">
        <v>200</v>
      </c>
      <c r="U9" s="493" t="s">
        <v>199</v>
      </c>
      <c r="V9" s="493" t="s">
        <v>198</v>
      </c>
      <c r="W9" s="493" t="s">
        <v>197</v>
      </c>
      <c r="X9" s="493" t="s">
        <v>196</v>
      </c>
      <c r="Y9" s="859"/>
      <c r="Z9" s="860"/>
      <c r="AA9" s="494"/>
      <c r="AB9" s="13"/>
      <c r="AC9" s="13"/>
      <c r="AD9" s="13"/>
    </row>
    <row r="10" spans="1:30" ht="38.25">
      <c r="A10" s="18">
        <v>1</v>
      </c>
      <c r="B10" s="495" t="s">
        <v>195</v>
      </c>
      <c r="C10" s="496" t="s">
        <v>194</v>
      </c>
      <c r="D10" s="496" t="s">
        <v>193</v>
      </c>
      <c r="E10" s="496" t="s">
        <v>192</v>
      </c>
      <c r="F10" s="497" t="s">
        <v>191</v>
      </c>
      <c r="G10" s="496" t="s">
        <v>190</v>
      </c>
      <c r="H10" s="496" t="s">
        <v>189</v>
      </c>
      <c r="I10" s="496" t="s">
        <v>188</v>
      </c>
      <c r="J10" s="496" t="s">
        <v>187</v>
      </c>
      <c r="K10" s="496" t="s">
        <v>186</v>
      </c>
      <c r="L10" s="496" t="s">
        <v>185</v>
      </c>
      <c r="M10" s="496" t="s">
        <v>184</v>
      </c>
      <c r="N10" s="496" t="s">
        <v>183</v>
      </c>
      <c r="O10" s="496" t="s">
        <v>182</v>
      </c>
      <c r="P10" s="496" t="s">
        <v>181</v>
      </c>
      <c r="Q10" s="496" t="s">
        <v>180</v>
      </c>
      <c r="R10" s="496" t="s">
        <v>179</v>
      </c>
      <c r="S10" s="498" t="s">
        <v>178</v>
      </c>
      <c r="T10" s="496" t="s">
        <v>177</v>
      </c>
      <c r="U10" s="496" t="s">
        <v>176</v>
      </c>
      <c r="V10" s="496"/>
      <c r="W10" s="496" t="s">
        <v>175</v>
      </c>
      <c r="X10" s="496" t="s">
        <v>174</v>
      </c>
      <c r="Y10" s="499" t="s">
        <v>173</v>
      </c>
      <c r="Z10" s="500"/>
      <c r="AA10" s="22"/>
      <c r="AB10" s="22"/>
      <c r="AC10" s="22"/>
      <c r="AD10" s="22"/>
    </row>
    <row r="11" spans="1:30" ht="15">
      <c r="A11" s="19"/>
      <c r="B11" s="19" t="s">
        <v>172</v>
      </c>
      <c r="C11" s="501"/>
      <c r="D11" s="501"/>
      <c r="E11" s="501">
        <f aca="true" t="shared" si="0" ref="E11:Y11">E12+E382+E415</f>
        <v>2567.833909</v>
      </c>
      <c r="F11" s="501">
        <f t="shared" si="0"/>
        <v>863.7099999999999</v>
      </c>
      <c r="G11" s="501">
        <f t="shared" si="0"/>
        <v>1493.3307399999999</v>
      </c>
      <c r="H11" s="501">
        <f t="shared" si="0"/>
        <v>178.49999999999994</v>
      </c>
      <c r="I11" s="501">
        <f t="shared" si="0"/>
        <v>27.65</v>
      </c>
      <c r="J11" s="501">
        <f t="shared" si="0"/>
        <v>0.2842</v>
      </c>
      <c r="K11" s="501">
        <f t="shared" si="0"/>
        <v>380.30210000000005</v>
      </c>
      <c r="L11" s="501">
        <f t="shared" si="0"/>
        <v>415.13093999999995</v>
      </c>
      <c r="M11" s="501">
        <f t="shared" si="0"/>
        <v>22.242000000000004</v>
      </c>
      <c r="N11" s="501">
        <f t="shared" si="0"/>
        <v>284.123</v>
      </c>
      <c r="O11" s="501">
        <f t="shared" si="0"/>
        <v>75.39250000000001</v>
      </c>
      <c r="P11" s="501">
        <f t="shared" si="0"/>
        <v>0</v>
      </c>
      <c r="Q11" s="501">
        <f t="shared" si="0"/>
        <v>29.6</v>
      </c>
      <c r="R11" s="501">
        <f t="shared" si="0"/>
        <v>11.600000000000005</v>
      </c>
      <c r="S11" s="501">
        <f t="shared" si="0"/>
        <v>12.000000000000005</v>
      </c>
      <c r="T11" s="501">
        <f t="shared" si="0"/>
        <v>47.78099999999999</v>
      </c>
      <c r="U11" s="501">
        <f t="shared" si="0"/>
        <v>1.3550000000000002</v>
      </c>
      <c r="V11" s="501">
        <f t="shared" si="0"/>
        <v>0</v>
      </c>
      <c r="W11" s="501">
        <f t="shared" si="0"/>
        <v>5.5</v>
      </c>
      <c r="X11" s="501">
        <f t="shared" si="0"/>
        <v>210.79316899999998</v>
      </c>
      <c r="Y11" s="502">
        <f t="shared" si="0"/>
        <v>46844253894.479996</v>
      </c>
      <c r="Z11" s="503">
        <f>+Y11/1490000*280000</f>
        <v>8802947040.573421</v>
      </c>
      <c r="AA11" s="17">
        <f>+Z11+'[2]XÃ'!AA343</f>
        <v>10488659980.170736</v>
      </c>
      <c r="AB11" s="17"/>
      <c r="AC11" s="17"/>
      <c r="AD11" s="17"/>
    </row>
    <row r="12" spans="1:30" ht="25.5">
      <c r="A12" s="504" t="s">
        <v>4</v>
      </c>
      <c r="B12" s="10" t="s">
        <v>171</v>
      </c>
      <c r="C12" s="501"/>
      <c r="D12" s="501"/>
      <c r="E12" s="501">
        <f aca="true" t="shared" si="1" ref="E12:Y12">E14+E241+E242+E243+E253+E261+E262+E263+E271</f>
        <v>2544.233909</v>
      </c>
      <c r="F12" s="501">
        <f t="shared" si="1"/>
        <v>863.7099999999999</v>
      </c>
      <c r="G12" s="501">
        <f t="shared" si="1"/>
        <v>1469.73074</v>
      </c>
      <c r="H12" s="501">
        <f t="shared" si="1"/>
        <v>178.49999999999994</v>
      </c>
      <c r="I12" s="501">
        <f t="shared" si="1"/>
        <v>27.65</v>
      </c>
      <c r="J12" s="501">
        <f t="shared" si="1"/>
        <v>0.2842</v>
      </c>
      <c r="K12" s="501">
        <f t="shared" si="1"/>
        <v>380.30210000000005</v>
      </c>
      <c r="L12" s="501">
        <f t="shared" si="1"/>
        <v>415.13093999999995</v>
      </c>
      <c r="M12" s="501">
        <f t="shared" si="1"/>
        <v>22.242000000000004</v>
      </c>
      <c r="N12" s="501">
        <f t="shared" si="1"/>
        <v>284.123</v>
      </c>
      <c r="O12" s="501">
        <f t="shared" si="1"/>
        <v>75.39250000000001</v>
      </c>
      <c r="P12" s="501">
        <f t="shared" si="1"/>
        <v>0</v>
      </c>
      <c r="Q12" s="501">
        <f t="shared" si="1"/>
        <v>29.6</v>
      </c>
      <c r="R12" s="501">
        <f t="shared" si="1"/>
        <v>0</v>
      </c>
      <c r="S12" s="501">
        <f t="shared" si="1"/>
        <v>0</v>
      </c>
      <c r="T12" s="501">
        <f t="shared" si="1"/>
        <v>47.78099999999999</v>
      </c>
      <c r="U12" s="501">
        <f t="shared" si="1"/>
        <v>1.3550000000000002</v>
      </c>
      <c r="V12" s="501">
        <f t="shared" si="1"/>
        <v>0</v>
      </c>
      <c r="W12" s="501">
        <f t="shared" si="1"/>
        <v>5.5</v>
      </c>
      <c r="X12" s="501">
        <f t="shared" si="1"/>
        <v>210.79316899999998</v>
      </c>
      <c r="Y12" s="501">
        <f t="shared" si="1"/>
        <v>46422285894.479996</v>
      </c>
      <c r="Z12" s="503"/>
      <c r="AA12" s="17">
        <f>2287+7990+3080</f>
        <v>13357</v>
      </c>
      <c r="AB12" s="17"/>
      <c r="AC12" s="17"/>
      <c r="AD12" s="17"/>
    </row>
    <row r="13" spans="1:30" ht="15">
      <c r="A13" s="505"/>
      <c r="B13" s="506" t="s">
        <v>346</v>
      </c>
      <c r="C13" s="503"/>
      <c r="D13" s="503"/>
      <c r="E13" s="503"/>
      <c r="F13" s="507"/>
      <c r="G13" s="503"/>
      <c r="H13" s="503"/>
      <c r="I13" s="503"/>
      <c r="J13" s="503"/>
      <c r="K13" s="503"/>
      <c r="L13" s="503"/>
      <c r="M13" s="503"/>
      <c r="N13" s="503"/>
      <c r="O13" s="503"/>
      <c r="P13" s="503"/>
      <c r="Q13" s="503"/>
      <c r="R13" s="503"/>
      <c r="S13" s="508"/>
      <c r="T13" s="503"/>
      <c r="U13" s="503"/>
      <c r="V13" s="503"/>
      <c r="W13" s="503"/>
      <c r="X13" s="503"/>
      <c r="Y13" s="503"/>
      <c r="Z13" s="509"/>
      <c r="AA13" s="17">
        <f>13357-8231</f>
        <v>5126</v>
      </c>
      <c r="AB13" s="17"/>
      <c r="AC13" s="17"/>
      <c r="AD13" s="17"/>
    </row>
    <row r="14" spans="1:30" ht="15">
      <c r="A14" s="504">
        <v>1</v>
      </c>
      <c r="B14" s="10" t="s">
        <v>347</v>
      </c>
      <c r="C14" s="501">
        <f aca="true" t="shared" si="2" ref="C14:U14">C16+C41+C65+C86+C126+C148+C198+C222</f>
        <v>184</v>
      </c>
      <c r="D14" s="501">
        <f t="shared" si="2"/>
        <v>151</v>
      </c>
      <c r="E14" s="501">
        <f t="shared" si="2"/>
        <v>1515.513769</v>
      </c>
      <c r="F14" s="510">
        <f t="shared" si="2"/>
        <v>529.3</v>
      </c>
      <c r="G14" s="501">
        <f t="shared" si="2"/>
        <v>855.265</v>
      </c>
      <c r="H14" s="501">
        <f t="shared" si="2"/>
        <v>105.69999999999996</v>
      </c>
      <c r="I14" s="501">
        <f t="shared" si="2"/>
        <v>10.350000000000001</v>
      </c>
      <c r="J14" s="501">
        <f t="shared" si="2"/>
        <v>0</v>
      </c>
      <c r="K14" s="501">
        <f t="shared" si="2"/>
        <v>204.305</v>
      </c>
      <c r="L14" s="501">
        <f t="shared" si="2"/>
        <v>209.32799999999997</v>
      </c>
      <c r="M14" s="501">
        <f t="shared" si="2"/>
        <v>21.439000000000004</v>
      </c>
      <c r="N14" s="501">
        <f t="shared" si="2"/>
        <v>284.123</v>
      </c>
      <c r="O14" s="501">
        <f t="shared" si="2"/>
        <v>0</v>
      </c>
      <c r="P14" s="501">
        <f t="shared" si="2"/>
        <v>0</v>
      </c>
      <c r="Q14" s="501">
        <f t="shared" si="2"/>
        <v>19.7</v>
      </c>
      <c r="R14" s="501">
        <f t="shared" si="2"/>
        <v>0</v>
      </c>
      <c r="S14" s="501">
        <f t="shared" si="2"/>
        <v>0</v>
      </c>
      <c r="T14" s="501">
        <f t="shared" si="2"/>
        <v>0</v>
      </c>
      <c r="U14" s="501">
        <f t="shared" si="2"/>
        <v>0.32</v>
      </c>
      <c r="V14" s="501"/>
      <c r="W14" s="501">
        <f>W16+W41+W65+W86+W126+W148+W198+W222</f>
        <v>0</v>
      </c>
      <c r="X14" s="501">
        <f>X16+X41+X65+X86+X126+X148+X198+X222</f>
        <v>130.94876899999997</v>
      </c>
      <c r="Y14" s="503">
        <f>Y16+Y41+Y65+Y86+Y126+Y148+Y198+Y222</f>
        <v>27660005682.48</v>
      </c>
      <c r="Z14" s="503">
        <f>+Y14/1490000*280000</f>
        <v>5197853416.841879</v>
      </c>
      <c r="AA14" s="17">
        <f>4187+1060+972+4586+134+845+1623</f>
        <v>13407</v>
      </c>
      <c r="AB14" s="17"/>
      <c r="AC14" s="17"/>
      <c r="AD14" s="17"/>
    </row>
    <row r="15" spans="1:30" ht="15">
      <c r="A15" s="504"/>
      <c r="B15" s="10" t="s">
        <v>348</v>
      </c>
      <c r="C15" s="501"/>
      <c r="D15" s="501"/>
      <c r="E15" s="501"/>
      <c r="F15" s="510"/>
      <c r="G15" s="501"/>
      <c r="H15" s="501"/>
      <c r="I15" s="501"/>
      <c r="J15" s="501"/>
      <c r="K15" s="501"/>
      <c r="L15" s="501"/>
      <c r="M15" s="501"/>
      <c r="N15" s="501"/>
      <c r="O15" s="501"/>
      <c r="P15" s="501"/>
      <c r="Q15" s="501"/>
      <c r="R15" s="501"/>
      <c r="S15" s="508"/>
      <c r="T15" s="501"/>
      <c r="U15" s="501"/>
      <c r="V15" s="501"/>
      <c r="W15" s="501"/>
      <c r="X15" s="501"/>
      <c r="Y15" s="503"/>
      <c r="Z15" s="503"/>
      <c r="AA15" s="17"/>
      <c r="AB15" s="17"/>
      <c r="AC15" s="17"/>
      <c r="AD15" s="17"/>
    </row>
    <row r="16" spans="1:30" ht="15">
      <c r="A16" s="504" t="s">
        <v>349</v>
      </c>
      <c r="B16" s="10" t="s">
        <v>350</v>
      </c>
      <c r="C16" s="501">
        <f>+C17</f>
        <v>22</v>
      </c>
      <c r="D16" s="501">
        <f>+D17</f>
        <v>22</v>
      </c>
      <c r="E16" s="501">
        <f>+E17</f>
        <v>192.97814400000004</v>
      </c>
      <c r="F16" s="501">
        <f aca="true" t="shared" si="3" ref="F16:Y16">+F17</f>
        <v>55.89999999999999</v>
      </c>
      <c r="G16" s="501">
        <f t="shared" si="3"/>
        <v>122.73539999999996</v>
      </c>
      <c r="H16" s="501">
        <f t="shared" si="3"/>
        <v>15.399999999999993</v>
      </c>
      <c r="I16" s="501">
        <f t="shared" si="3"/>
        <v>1.7999999999999998</v>
      </c>
      <c r="J16" s="501">
        <f t="shared" si="3"/>
        <v>0</v>
      </c>
      <c r="K16" s="501">
        <f t="shared" si="3"/>
        <v>28.85</v>
      </c>
      <c r="L16" s="501">
        <f t="shared" si="3"/>
        <v>30.065</v>
      </c>
      <c r="M16" s="501">
        <f t="shared" si="3"/>
        <v>3.5303999999999998</v>
      </c>
      <c r="N16" s="501">
        <f t="shared" si="3"/>
        <v>40.39</v>
      </c>
      <c r="O16" s="501">
        <f t="shared" si="3"/>
        <v>0</v>
      </c>
      <c r="P16" s="501">
        <f t="shared" si="3"/>
        <v>0</v>
      </c>
      <c r="Q16" s="501">
        <f t="shared" si="3"/>
        <v>2.7</v>
      </c>
      <c r="R16" s="501">
        <f t="shared" si="3"/>
        <v>0</v>
      </c>
      <c r="S16" s="501">
        <f t="shared" si="3"/>
        <v>0</v>
      </c>
      <c r="T16" s="501">
        <f t="shared" si="3"/>
        <v>0</v>
      </c>
      <c r="U16" s="501">
        <f t="shared" si="3"/>
        <v>0</v>
      </c>
      <c r="V16" s="501">
        <f t="shared" si="3"/>
        <v>0</v>
      </c>
      <c r="W16" s="501">
        <f t="shared" si="3"/>
        <v>0</v>
      </c>
      <c r="X16" s="501">
        <f t="shared" si="3"/>
        <v>14.342743999999994</v>
      </c>
      <c r="Y16" s="501">
        <f t="shared" si="3"/>
        <v>3450450000</v>
      </c>
      <c r="Z16" s="503"/>
      <c r="AA16" s="17">
        <f>13407-8231</f>
        <v>5176</v>
      </c>
      <c r="AB16" s="17"/>
      <c r="AC16" s="17"/>
      <c r="AD16" s="17"/>
    </row>
    <row r="17" spans="1:30" ht="15">
      <c r="A17" s="504" t="s">
        <v>88</v>
      </c>
      <c r="B17" s="10" t="s">
        <v>75</v>
      </c>
      <c r="C17" s="501">
        <v>22</v>
      </c>
      <c r="D17" s="501">
        <v>22</v>
      </c>
      <c r="E17" s="501">
        <f>SUM(E18:E40)</f>
        <v>192.97814400000004</v>
      </c>
      <c r="F17" s="501">
        <f aca="true" t="shared" si="4" ref="F17:X17">SUM(F18:F40)</f>
        <v>55.89999999999999</v>
      </c>
      <c r="G17" s="501">
        <f t="shared" si="4"/>
        <v>122.73539999999996</v>
      </c>
      <c r="H17" s="501">
        <f t="shared" si="4"/>
        <v>15.399999999999993</v>
      </c>
      <c r="I17" s="501">
        <f t="shared" si="4"/>
        <v>1.7999999999999998</v>
      </c>
      <c r="J17" s="501">
        <f t="shared" si="4"/>
        <v>0</v>
      </c>
      <c r="K17" s="501">
        <f t="shared" si="4"/>
        <v>28.85</v>
      </c>
      <c r="L17" s="501">
        <f t="shared" si="4"/>
        <v>30.065</v>
      </c>
      <c r="M17" s="501">
        <f t="shared" si="4"/>
        <v>3.5303999999999998</v>
      </c>
      <c r="N17" s="502">
        <f t="shared" si="4"/>
        <v>40.39</v>
      </c>
      <c r="O17" s="502">
        <f t="shared" si="4"/>
        <v>0</v>
      </c>
      <c r="P17" s="502">
        <f t="shared" si="4"/>
        <v>0</v>
      </c>
      <c r="Q17" s="502">
        <f t="shared" si="4"/>
        <v>2.7</v>
      </c>
      <c r="R17" s="502">
        <f t="shared" si="4"/>
        <v>0</v>
      </c>
      <c r="S17" s="502">
        <f t="shared" si="4"/>
        <v>0</v>
      </c>
      <c r="T17" s="502">
        <f t="shared" si="4"/>
        <v>0</v>
      </c>
      <c r="U17" s="502">
        <f t="shared" si="4"/>
        <v>0</v>
      </c>
      <c r="V17" s="502">
        <f t="shared" si="4"/>
        <v>0</v>
      </c>
      <c r="W17" s="502">
        <f t="shared" si="4"/>
        <v>0</v>
      </c>
      <c r="X17" s="502">
        <f t="shared" si="4"/>
        <v>14.342743999999994</v>
      </c>
      <c r="Y17" s="502">
        <f>ROUNDUP(SUM(Y18:Y40),-3)</f>
        <v>3450450000</v>
      </c>
      <c r="Z17" s="503"/>
      <c r="AA17" s="17"/>
      <c r="AB17" s="17"/>
      <c r="AC17" s="17"/>
      <c r="AD17" s="17"/>
    </row>
    <row r="18" spans="1:30" ht="15">
      <c r="A18" s="505"/>
      <c r="B18" s="511"/>
      <c r="C18" s="512"/>
      <c r="D18" s="512"/>
      <c r="E18" s="512"/>
      <c r="F18" s="513"/>
      <c r="G18" s="512"/>
      <c r="H18" s="514"/>
      <c r="I18" s="515"/>
      <c r="J18" s="512"/>
      <c r="K18" s="516"/>
      <c r="L18" s="515"/>
      <c r="M18" s="517"/>
      <c r="N18" s="515"/>
      <c r="O18" s="512"/>
      <c r="P18" s="512"/>
      <c r="Q18" s="515"/>
      <c r="R18" s="512"/>
      <c r="S18" s="512"/>
      <c r="T18" s="512"/>
      <c r="U18" s="518"/>
      <c r="V18" s="518"/>
      <c r="W18" s="512"/>
      <c r="X18" s="515"/>
      <c r="Y18" s="2"/>
      <c r="Z18" s="496"/>
      <c r="AA18" s="22"/>
      <c r="AB18" s="22"/>
      <c r="AC18" s="22"/>
      <c r="AD18" s="22"/>
    </row>
    <row r="19" spans="1:30" ht="15">
      <c r="A19" s="519">
        <v>1</v>
      </c>
      <c r="B19" s="520" t="s">
        <v>351</v>
      </c>
      <c r="C19" s="521"/>
      <c r="D19" s="521"/>
      <c r="E19" s="521">
        <f>F19+G19+X19</f>
        <v>13.937124999999998</v>
      </c>
      <c r="F19" s="522">
        <v>3.96</v>
      </c>
      <c r="G19" s="521">
        <f aca="true" t="shared" si="5" ref="G19:G40">SUM(H19:W19)</f>
        <v>8.667</v>
      </c>
      <c r="H19" s="523">
        <v>0.7</v>
      </c>
      <c r="I19" s="524">
        <v>0.5</v>
      </c>
      <c r="J19" s="521"/>
      <c r="K19" s="525">
        <f>(F19+I19+J19)*50%</f>
        <v>2.23</v>
      </c>
      <c r="L19" s="524"/>
      <c r="M19" s="526">
        <f>(F19+I19+J19)*0.25</f>
        <v>1.115</v>
      </c>
      <c r="N19" s="524">
        <f>(F19+I19)*0.7</f>
        <v>3.122</v>
      </c>
      <c r="O19" s="521"/>
      <c r="P19" s="521"/>
      <c r="Q19" s="524">
        <v>1</v>
      </c>
      <c r="R19" s="521"/>
      <c r="S19" s="521"/>
      <c r="T19" s="521"/>
      <c r="U19" s="527"/>
      <c r="V19" s="527"/>
      <c r="W19" s="521"/>
      <c r="X19" s="524">
        <f aca="true" t="shared" si="6" ref="X19:X40">(F19+I19+M19+U19)*23.5%</f>
        <v>1.310125</v>
      </c>
      <c r="Y19" s="528">
        <f aca="true" t="shared" si="7" ref="Y19:Y36">E19*1490000*12</f>
        <v>249195794.99999994</v>
      </c>
      <c r="Z19" s="529"/>
      <c r="AA19" s="530"/>
      <c r="AB19" s="530"/>
      <c r="AC19" s="530"/>
      <c r="AD19" s="530"/>
    </row>
    <row r="20" spans="1:30" ht="15">
      <c r="A20" s="519">
        <v>2</v>
      </c>
      <c r="B20" s="531" t="s">
        <v>352</v>
      </c>
      <c r="C20" s="521"/>
      <c r="D20" s="521"/>
      <c r="E20" s="521">
        <f aca="true" t="shared" si="8" ref="E20:E40">F20+G20+X20</f>
        <v>11.884</v>
      </c>
      <c r="F20" s="532">
        <v>3.65</v>
      </c>
      <c r="G20" s="533">
        <f t="shared" si="5"/>
        <v>7.19</v>
      </c>
      <c r="H20" s="534">
        <v>0.7</v>
      </c>
      <c r="I20" s="535">
        <v>0.35</v>
      </c>
      <c r="J20" s="521"/>
      <c r="K20" s="534">
        <f>(F20+I20)*50%</f>
        <v>2</v>
      </c>
      <c r="L20" s="534"/>
      <c r="M20" s="536">
        <f>(F20+I20)*0.16</f>
        <v>0.64</v>
      </c>
      <c r="N20" s="534">
        <f>(F20+I20)*70%</f>
        <v>2.8</v>
      </c>
      <c r="O20" s="521"/>
      <c r="P20" s="521"/>
      <c r="Q20" s="537">
        <v>0.7</v>
      </c>
      <c r="R20" s="521"/>
      <c r="S20" s="538"/>
      <c r="T20" s="521"/>
      <c r="U20" s="539"/>
      <c r="V20" s="539"/>
      <c r="W20" s="521"/>
      <c r="X20" s="524">
        <f>(F20+I20+M20+U20)*0.225</f>
        <v>1.044</v>
      </c>
      <c r="Y20" s="528">
        <f t="shared" si="7"/>
        <v>212485920</v>
      </c>
      <c r="Z20" s="529"/>
      <c r="AA20" s="530"/>
      <c r="AB20" s="530"/>
      <c r="AC20" s="530"/>
      <c r="AD20" s="530"/>
    </row>
    <row r="21" spans="1:30" ht="15">
      <c r="A21" s="519">
        <v>3</v>
      </c>
      <c r="B21" s="520" t="s">
        <v>353</v>
      </c>
      <c r="C21" s="521"/>
      <c r="D21" s="521"/>
      <c r="E21" s="521">
        <f t="shared" si="8"/>
        <v>9.424064499999998</v>
      </c>
      <c r="F21" s="522">
        <v>3.03</v>
      </c>
      <c r="G21" s="521">
        <f t="shared" si="5"/>
        <v>5.566699999999999</v>
      </c>
      <c r="H21" s="523">
        <v>0.7</v>
      </c>
      <c r="I21" s="524">
        <v>0.2</v>
      </c>
      <c r="J21" s="521"/>
      <c r="K21" s="525">
        <f aca="true" t="shared" si="9" ref="K21:K40">(F21+I21+J21)*50%</f>
        <v>1.615</v>
      </c>
      <c r="L21" s="540"/>
      <c r="M21" s="526">
        <f>(F21+I21+J21)*0.09</f>
        <v>0.2907</v>
      </c>
      <c r="N21" s="524">
        <f>(F21+I21)*0.7</f>
        <v>2.2609999999999997</v>
      </c>
      <c r="O21" s="521"/>
      <c r="P21" s="521"/>
      <c r="Q21" s="524">
        <v>0.5</v>
      </c>
      <c r="R21" s="521"/>
      <c r="S21" s="521"/>
      <c r="T21" s="521"/>
      <c r="U21" s="527"/>
      <c r="V21" s="527"/>
      <c r="W21" s="521"/>
      <c r="X21" s="524">
        <f t="shared" si="6"/>
        <v>0.8273645</v>
      </c>
      <c r="Y21" s="528">
        <f>E21*1490000*12</f>
        <v>168502273.25999996</v>
      </c>
      <c r="Z21" s="529"/>
      <c r="AA21" s="530"/>
      <c r="AB21" s="530"/>
      <c r="AC21" s="530"/>
      <c r="AD21" s="530"/>
    </row>
    <row r="22" spans="1:30" ht="15">
      <c r="A22" s="519">
        <v>4</v>
      </c>
      <c r="B22" s="520" t="s">
        <v>354</v>
      </c>
      <c r="C22" s="521"/>
      <c r="D22" s="521"/>
      <c r="E22" s="521">
        <f t="shared" si="8"/>
        <v>9.428752000000001</v>
      </c>
      <c r="F22" s="522">
        <v>2.72</v>
      </c>
      <c r="G22" s="521">
        <f t="shared" si="5"/>
        <v>6.0312</v>
      </c>
      <c r="H22" s="523">
        <v>0.7</v>
      </c>
      <c r="I22" s="524"/>
      <c r="J22" s="521"/>
      <c r="K22" s="525">
        <f t="shared" si="9"/>
        <v>1.36</v>
      </c>
      <c r="L22" s="540">
        <f aca="true" t="shared" si="10" ref="L22:L36">(F22+I22+J22)*70%</f>
        <v>1.904</v>
      </c>
      <c r="M22" s="526">
        <f>(F22+I22+J22)*0.06</f>
        <v>0.1632</v>
      </c>
      <c r="N22" s="524">
        <f>(F22+I22)*0.7</f>
        <v>1.904</v>
      </c>
      <c r="O22" s="521"/>
      <c r="P22" s="521"/>
      <c r="Q22" s="524"/>
      <c r="R22" s="521"/>
      <c r="S22" s="521"/>
      <c r="T22" s="521"/>
      <c r="U22" s="527"/>
      <c r="V22" s="527"/>
      <c r="W22" s="521"/>
      <c r="X22" s="524">
        <f t="shared" si="6"/>
        <v>0.677552</v>
      </c>
      <c r="Y22" s="528">
        <f>E22*1490000*12</f>
        <v>168586085.76000002</v>
      </c>
      <c r="Z22" s="529"/>
      <c r="AA22" s="530"/>
      <c r="AB22" s="530"/>
      <c r="AC22" s="530"/>
      <c r="AD22" s="530"/>
    </row>
    <row r="23" spans="1:30" ht="15">
      <c r="A23" s="519">
        <v>5</v>
      </c>
      <c r="B23" s="520" t="s">
        <v>355</v>
      </c>
      <c r="C23" s="521"/>
      <c r="D23" s="521"/>
      <c r="E23" s="521">
        <f t="shared" si="8"/>
        <v>9.428752000000001</v>
      </c>
      <c r="F23" s="522">
        <v>2.72</v>
      </c>
      <c r="G23" s="521">
        <f t="shared" si="5"/>
        <v>6.0312</v>
      </c>
      <c r="H23" s="523">
        <v>0.7</v>
      </c>
      <c r="I23" s="524"/>
      <c r="J23" s="521"/>
      <c r="K23" s="525">
        <f t="shared" si="9"/>
        <v>1.36</v>
      </c>
      <c r="L23" s="540">
        <f>(F23+I23+J23)*70%</f>
        <v>1.904</v>
      </c>
      <c r="M23" s="526">
        <f>(F23+I23+J23)*0.06</f>
        <v>0.1632</v>
      </c>
      <c r="N23" s="524">
        <f>(F23+I23)*0.7</f>
        <v>1.904</v>
      </c>
      <c r="O23" s="521"/>
      <c r="P23" s="521"/>
      <c r="Q23" s="524"/>
      <c r="R23" s="521"/>
      <c r="S23" s="521"/>
      <c r="T23" s="521"/>
      <c r="U23" s="527"/>
      <c r="V23" s="527"/>
      <c r="W23" s="521"/>
      <c r="X23" s="524">
        <f t="shared" si="6"/>
        <v>0.677552</v>
      </c>
      <c r="Y23" s="528">
        <f>E23*1490000*12</f>
        <v>168586085.76000002</v>
      </c>
      <c r="Z23" s="529"/>
      <c r="AA23" s="530"/>
      <c r="AB23" s="530"/>
      <c r="AC23" s="530"/>
      <c r="AD23" s="530"/>
    </row>
    <row r="24" spans="1:30" ht="15">
      <c r="A24" s="519">
        <v>6</v>
      </c>
      <c r="B24" s="520" t="s">
        <v>356</v>
      </c>
      <c r="C24" s="521"/>
      <c r="D24" s="521"/>
      <c r="E24" s="521">
        <f t="shared" si="8"/>
        <v>10.5898515</v>
      </c>
      <c r="F24" s="522">
        <v>2.72</v>
      </c>
      <c r="G24" s="521">
        <f t="shared" si="5"/>
        <v>7.0979</v>
      </c>
      <c r="H24" s="523">
        <v>0.7</v>
      </c>
      <c r="I24" s="524">
        <v>0.35</v>
      </c>
      <c r="J24" s="521"/>
      <c r="K24" s="525">
        <f t="shared" si="9"/>
        <v>1.5350000000000001</v>
      </c>
      <c r="L24" s="524">
        <f t="shared" si="10"/>
        <v>2.149</v>
      </c>
      <c r="M24" s="526">
        <f>(F24+I24+J24)*0.07</f>
        <v>0.21490000000000004</v>
      </c>
      <c r="N24" s="524">
        <f aca="true" t="shared" si="11" ref="N24:N36">(F24+I24)*0.7</f>
        <v>2.149</v>
      </c>
      <c r="O24" s="521"/>
      <c r="P24" s="521"/>
      <c r="Q24" s="524"/>
      <c r="R24" s="521"/>
      <c r="S24" s="521"/>
      <c r="T24" s="521"/>
      <c r="U24" s="524"/>
      <c r="V24" s="524"/>
      <c r="W24" s="521"/>
      <c r="X24" s="524">
        <f t="shared" si="6"/>
        <v>0.7719515</v>
      </c>
      <c r="Y24" s="528">
        <f t="shared" si="7"/>
        <v>189346544.82</v>
      </c>
      <c r="Z24" s="529"/>
      <c r="AA24" s="530"/>
      <c r="AB24" s="530"/>
      <c r="AC24" s="530"/>
      <c r="AD24" s="530"/>
    </row>
    <row r="25" spans="1:30" ht="15">
      <c r="A25" s="519">
        <v>7</v>
      </c>
      <c r="B25" s="520" t="s">
        <v>357</v>
      </c>
      <c r="C25" s="521"/>
      <c r="D25" s="521"/>
      <c r="E25" s="521">
        <f t="shared" si="8"/>
        <v>9.255756</v>
      </c>
      <c r="F25" s="522">
        <v>3.06</v>
      </c>
      <c r="G25" s="521">
        <f t="shared" si="5"/>
        <v>5.361599999999999</v>
      </c>
      <c r="H25" s="523">
        <v>0.7</v>
      </c>
      <c r="I25" s="524"/>
      <c r="J25" s="521"/>
      <c r="K25" s="525">
        <f t="shared" si="9"/>
        <v>1.53</v>
      </c>
      <c r="L25" s="524"/>
      <c r="M25" s="526">
        <f>(F25+I25+J25)*0.16</f>
        <v>0.48960000000000004</v>
      </c>
      <c r="N25" s="524">
        <f>(F25+I25)*0.7</f>
        <v>2.142</v>
      </c>
      <c r="O25" s="521"/>
      <c r="P25" s="521"/>
      <c r="Q25" s="524">
        <v>0.5</v>
      </c>
      <c r="R25" s="521"/>
      <c r="S25" s="521"/>
      <c r="T25" s="521"/>
      <c r="U25" s="524"/>
      <c r="V25" s="524"/>
      <c r="W25" s="521"/>
      <c r="X25" s="524">
        <f>(F25+I25+M25+U25)*23.5%</f>
        <v>0.8341559999999999</v>
      </c>
      <c r="Y25" s="528">
        <f>E25*1490000*12</f>
        <v>165492917.28</v>
      </c>
      <c r="Z25" s="529"/>
      <c r="AA25" s="530"/>
      <c r="AB25" s="530"/>
      <c r="AC25" s="530"/>
      <c r="AD25" s="530"/>
    </row>
    <row r="26" spans="1:30" ht="15">
      <c r="A26" s="519">
        <v>8</v>
      </c>
      <c r="B26" s="541" t="s">
        <v>358</v>
      </c>
      <c r="C26" s="521"/>
      <c r="D26" s="521"/>
      <c r="E26" s="521">
        <f t="shared" si="8"/>
        <v>8.25535</v>
      </c>
      <c r="F26" s="522">
        <v>2.41</v>
      </c>
      <c r="G26" s="521">
        <f t="shared" si="5"/>
        <v>5.279</v>
      </c>
      <c r="H26" s="523">
        <v>0.7</v>
      </c>
      <c r="I26" s="524"/>
      <c r="J26" s="521"/>
      <c r="K26" s="525">
        <f t="shared" si="9"/>
        <v>1.205</v>
      </c>
      <c r="L26" s="524">
        <f t="shared" si="10"/>
        <v>1.687</v>
      </c>
      <c r="M26" s="526"/>
      <c r="N26" s="524">
        <f t="shared" si="11"/>
        <v>1.687</v>
      </c>
      <c r="O26" s="521"/>
      <c r="P26" s="521"/>
      <c r="Q26" s="524"/>
      <c r="R26" s="521"/>
      <c r="S26" s="521"/>
      <c r="T26" s="521"/>
      <c r="U26" s="524"/>
      <c r="V26" s="524"/>
      <c r="W26" s="521"/>
      <c r="X26" s="524">
        <f t="shared" si="6"/>
        <v>0.56635</v>
      </c>
      <c r="Y26" s="528">
        <f t="shared" si="7"/>
        <v>147605658</v>
      </c>
      <c r="Z26" s="529"/>
      <c r="AA26" s="530"/>
      <c r="AB26" s="530"/>
      <c r="AC26" s="530"/>
      <c r="AD26" s="530"/>
    </row>
    <row r="27" spans="1:30" ht="15">
      <c r="A27" s="519">
        <v>9</v>
      </c>
      <c r="B27" s="541" t="s">
        <v>359</v>
      </c>
      <c r="C27" s="521"/>
      <c r="D27" s="521"/>
      <c r="E27" s="521">
        <f t="shared" si="8"/>
        <v>10.6106755</v>
      </c>
      <c r="F27" s="522">
        <v>3.03</v>
      </c>
      <c r="G27" s="521">
        <f t="shared" si="5"/>
        <v>6.790299999999999</v>
      </c>
      <c r="H27" s="523">
        <v>0.7</v>
      </c>
      <c r="I27" s="524"/>
      <c r="J27" s="521"/>
      <c r="K27" s="525">
        <f t="shared" si="9"/>
        <v>1.515</v>
      </c>
      <c r="L27" s="524">
        <f t="shared" si="10"/>
        <v>2.1209999999999996</v>
      </c>
      <c r="M27" s="526">
        <f>(F27+I27+J27)*0.11</f>
        <v>0.3333</v>
      </c>
      <c r="N27" s="524">
        <f t="shared" si="11"/>
        <v>2.1209999999999996</v>
      </c>
      <c r="O27" s="521"/>
      <c r="P27" s="521"/>
      <c r="Q27" s="524"/>
      <c r="R27" s="521"/>
      <c r="S27" s="521"/>
      <c r="T27" s="521"/>
      <c r="U27" s="524"/>
      <c r="V27" s="524"/>
      <c r="W27" s="521"/>
      <c r="X27" s="524">
        <f t="shared" si="6"/>
        <v>0.7903754999999999</v>
      </c>
      <c r="Y27" s="528">
        <f t="shared" si="7"/>
        <v>189718877.94</v>
      </c>
      <c r="Z27" s="529"/>
      <c r="AA27" s="530"/>
      <c r="AB27" s="530"/>
      <c r="AC27" s="530"/>
      <c r="AD27" s="530"/>
    </row>
    <row r="28" spans="1:30" ht="15">
      <c r="A28" s="519">
        <v>10</v>
      </c>
      <c r="B28" s="541" t="s">
        <v>360</v>
      </c>
      <c r="C28" s="521"/>
      <c r="D28" s="521"/>
      <c r="E28" s="521">
        <f t="shared" si="8"/>
        <v>7.7851</v>
      </c>
      <c r="F28" s="522">
        <v>2.26</v>
      </c>
      <c r="G28" s="521">
        <f t="shared" si="5"/>
        <v>4.994</v>
      </c>
      <c r="H28" s="523">
        <v>0.7</v>
      </c>
      <c r="I28" s="524"/>
      <c r="J28" s="521"/>
      <c r="K28" s="525">
        <f t="shared" si="9"/>
        <v>1.13</v>
      </c>
      <c r="L28" s="524">
        <f>(F28+I28+J28)*70%</f>
        <v>1.5819999999999999</v>
      </c>
      <c r="M28" s="527"/>
      <c r="N28" s="524">
        <f>(F28+I28)*0.7</f>
        <v>1.5819999999999999</v>
      </c>
      <c r="O28" s="521"/>
      <c r="P28" s="521"/>
      <c r="Q28" s="524"/>
      <c r="R28" s="521"/>
      <c r="S28" s="521"/>
      <c r="T28" s="521"/>
      <c r="U28" s="524"/>
      <c r="V28" s="524"/>
      <c r="W28" s="521"/>
      <c r="X28" s="524">
        <f t="shared" si="6"/>
        <v>0.5310999999999999</v>
      </c>
      <c r="Y28" s="528">
        <f>E28*1490000*12</f>
        <v>139197588</v>
      </c>
      <c r="Z28" s="529"/>
      <c r="AA28" s="530"/>
      <c r="AB28" s="530"/>
      <c r="AC28" s="530"/>
      <c r="AD28" s="530"/>
    </row>
    <row r="29" spans="1:30" ht="15">
      <c r="A29" s="519">
        <v>11</v>
      </c>
      <c r="B29" s="541" t="s">
        <v>361</v>
      </c>
      <c r="C29" s="521"/>
      <c r="D29" s="521"/>
      <c r="E29" s="521">
        <f t="shared" si="8"/>
        <v>8.25535</v>
      </c>
      <c r="F29" s="522">
        <v>2.41</v>
      </c>
      <c r="G29" s="521">
        <f t="shared" si="5"/>
        <v>5.279</v>
      </c>
      <c r="H29" s="523">
        <v>0.7</v>
      </c>
      <c r="I29" s="524"/>
      <c r="J29" s="521"/>
      <c r="K29" s="525">
        <f t="shared" si="9"/>
        <v>1.205</v>
      </c>
      <c r="L29" s="524">
        <f>(F29+I29+J29)*70%</f>
        <v>1.687</v>
      </c>
      <c r="M29" s="527"/>
      <c r="N29" s="524">
        <f>(F29+I29)*0.7</f>
        <v>1.687</v>
      </c>
      <c r="O29" s="521"/>
      <c r="P29" s="521"/>
      <c r="Q29" s="524"/>
      <c r="R29" s="521"/>
      <c r="S29" s="521"/>
      <c r="T29" s="521"/>
      <c r="U29" s="524"/>
      <c r="V29" s="524"/>
      <c r="W29" s="521"/>
      <c r="X29" s="524">
        <f t="shared" si="6"/>
        <v>0.56635</v>
      </c>
      <c r="Y29" s="528">
        <f>E29*1490000*12</f>
        <v>147605658</v>
      </c>
      <c r="Z29" s="529"/>
      <c r="AA29" s="530"/>
      <c r="AB29" s="530"/>
      <c r="AC29" s="530"/>
      <c r="AD29" s="530"/>
    </row>
    <row r="30" spans="1:30" ht="15">
      <c r="A30" s="519">
        <v>12</v>
      </c>
      <c r="B30" s="541" t="s">
        <v>362</v>
      </c>
      <c r="C30" s="521"/>
      <c r="D30" s="521"/>
      <c r="E30" s="521">
        <f t="shared" si="8"/>
        <v>8.88235</v>
      </c>
      <c r="F30" s="522">
        <v>2.41</v>
      </c>
      <c r="G30" s="521">
        <f t="shared" si="5"/>
        <v>5.859</v>
      </c>
      <c r="H30" s="523">
        <v>0.7</v>
      </c>
      <c r="I30" s="524">
        <v>0.2</v>
      </c>
      <c r="J30" s="521"/>
      <c r="K30" s="525">
        <f t="shared" si="9"/>
        <v>1.3050000000000002</v>
      </c>
      <c r="L30" s="524">
        <f>(F30+I30+J30)*70%</f>
        <v>1.8270000000000002</v>
      </c>
      <c r="M30" s="527"/>
      <c r="N30" s="524">
        <f>(F30+I30)*0.7</f>
        <v>1.8270000000000002</v>
      </c>
      <c r="O30" s="521"/>
      <c r="P30" s="521"/>
      <c r="Q30" s="524"/>
      <c r="R30" s="521"/>
      <c r="S30" s="521"/>
      <c r="T30" s="521"/>
      <c r="U30" s="524"/>
      <c r="V30" s="524"/>
      <c r="W30" s="521"/>
      <c r="X30" s="524">
        <f t="shared" si="6"/>
        <v>0.6133500000000001</v>
      </c>
      <c r="Y30" s="528">
        <f>E30*1490000*12</f>
        <v>158816418.00000003</v>
      </c>
      <c r="Z30" s="529"/>
      <c r="AA30" s="530"/>
      <c r="AB30" s="530"/>
      <c r="AC30" s="530"/>
      <c r="AD30" s="530"/>
    </row>
    <row r="31" spans="1:30" ht="15">
      <c r="A31" s="519">
        <v>13</v>
      </c>
      <c r="B31" s="541" t="s">
        <v>363</v>
      </c>
      <c r="C31" s="521"/>
      <c r="D31" s="521"/>
      <c r="E31" s="521">
        <f t="shared" si="8"/>
        <v>8.25535</v>
      </c>
      <c r="F31" s="522">
        <v>2.41</v>
      </c>
      <c r="G31" s="521">
        <f t="shared" si="5"/>
        <v>5.279</v>
      </c>
      <c r="H31" s="523">
        <v>0.7</v>
      </c>
      <c r="I31" s="524"/>
      <c r="J31" s="521"/>
      <c r="K31" s="525">
        <f t="shared" si="9"/>
        <v>1.205</v>
      </c>
      <c r="L31" s="524">
        <f>(F31+I31+J31)*70%</f>
        <v>1.687</v>
      </c>
      <c r="M31" s="527"/>
      <c r="N31" s="524">
        <f>(F31+I31)*0.7</f>
        <v>1.687</v>
      </c>
      <c r="O31" s="521"/>
      <c r="P31" s="521"/>
      <c r="Q31" s="524"/>
      <c r="R31" s="521"/>
      <c r="S31" s="521"/>
      <c r="T31" s="521"/>
      <c r="U31" s="524"/>
      <c r="V31" s="524"/>
      <c r="W31" s="521"/>
      <c r="X31" s="524">
        <f t="shared" si="6"/>
        <v>0.56635</v>
      </c>
      <c r="Y31" s="528">
        <f>E31*1490000*12</f>
        <v>147605658</v>
      </c>
      <c r="Z31" s="529"/>
      <c r="AA31" s="530"/>
      <c r="AB31" s="530"/>
      <c r="AC31" s="530"/>
      <c r="AD31" s="530"/>
    </row>
    <row r="32" spans="1:30" ht="15">
      <c r="A32" s="519">
        <v>14</v>
      </c>
      <c r="B32" s="541" t="s">
        <v>364</v>
      </c>
      <c r="C32" s="521"/>
      <c r="D32" s="521"/>
      <c r="E32" s="521">
        <f t="shared" si="8"/>
        <v>6.5311</v>
      </c>
      <c r="F32" s="522">
        <v>1.86</v>
      </c>
      <c r="G32" s="521">
        <f t="shared" si="5"/>
        <v>4.234</v>
      </c>
      <c r="H32" s="523">
        <v>0.7</v>
      </c>
      <c r="I32" s="524"/>
      <c r="J32" s="521"/>
      <c r="K32" s="525">
        <f t="shared" si="9"/>
        <v>0.93</v>
      </c>
      <c r="L32" s="524">
        <f>(F32+I32+J32)*70%</f>
        <v>1.302</v>
      </c>
      <c r="M32" s="527"/>
      <c r="N32" s="524">
        <f>(F32+I32)*0.7</f>
        <v>1.302</v>
      </c>
      <c r="O32" s="521"/>
      <c r="P32" s="521"/>
      <c r="Q32" s="524"/>
      <c r="R32" s="521"/>
      <c r="S32" s="521"/>
      <c r="T32" s="521"/>
      <c r="U32" s="524"/>
      <c r="V32" s="524"/>
      <c r="W32" s="521"/>
      <c r="X32" s="524">
        <f t="shared" si="6"/>
        <v>0.4371</v>
      </c>
      <c r="Y32" s="528">
        <f>E32*1490000*12</f>
        <v>116776068</v>
      </c>
      <c r="Z32" s="529"/>
      <c r="AA32" s="542"/>
      <c r="AB32" s="530"/>
      <c r="AC32" s="530"/>
      <c r="AD32" s="530"/>
    </row>
    <row r="33" spans="1:30" ht="15">
      <c r="A33" s="519">
        <v>15</v>
      </c>
      <c r="B33" s="541" t="s">
        <v>365</v>
      </c>
      <c r="C33" s="521"/>
      <c r="D33" s="521"/>
      <c r="E33" s="521">
        <f t="shared" si="8"/>
        <v>8.88235</v>
      </c>
      <c r="F33" s="522">
        <v>2.41</v>
      </c>
      <c r="G33" s="521">
        <f t="shared" si="5"/>
        <v>5.859</v>
      </c>
      <c r="H33" s="523">
        <v>0.7</v>
      </c>
      <c r="I33" s="524">
        <v>0.2</v>
      </c>
      <c r="J33" s="521"/>
      <c r="K33" s="525">
        <f t="shared" si="9"/>
        <v>1.3050000000000002</v>
      </c>
      <c r="L33" s="524">
        <f t="shared" si="10"/>
        <v>1.8270000000000002</v>
      </c>
      <c r="M33" s="527"/>
      <c r="N33" s="524">
        <f t="shared" si="11"/>
        <v>1.8270000000000002</v>
      </c>
      <c r="O33" s="521"/>
      <c r="P33" s="521"/>
      <c r="Q33" s="524"/>
      <c r="R33" s="521"/>
      <c r="S33" s="521"/>
      <c r="T33" s="521"/>
      <c r="U33" s="527"/>
      <c r="V33" s="527"/>
      <c r="W33" s="521"/>
      <c r="X33" s="524">
        <f t="shared" si="6"/>
        <v>0.6133500000000001</v>
      </c>
      <c r="Y33" s="528">
        <f t="shared" si="7"/>
        <v>158816418.00000003</v>
      </c>
      <c r="Z33" s="529"/>
      <c r="AA33" s="530"/>
      <c r="AB33" s="530"/>
      <c r="AC33" s="530"/>
      <c r="AD33" s="530"/>
    </row>
    <row r="34" spans="1:30" ht="15">
      <c r="A34" s="519">
        <v>16</v>
      </c>
      <c r="B34" s="541" t="s">
        <v>366</v>
      </c>
      <c r="C34" s="521"/>
      <c r="D34" s="521"/>
      <c r="E34" s="521">
        <f t="shared" si="8"/>
        <v>7.283499999999999</v>
      </c>
      <c r="F34" s="522">
        <v>2.1</v>
      </c>
      <c r="G34" s="521">
        <f t="shared" si="5"/>
        <v>4.6899999999999995</v>
      </c>
      <c r="H34" s="523">
        <v>0.7</v>
      </c>
      <c r="I34" s="524"/>
      <c r="J34" s="521"/>
      <c r="K34" s="525">
        <f t="shared" si="9"/>
        <v>1.05</v>
      </c>
      <c r="L34" s="524">
        <f t="shared" si="10"/>
        <v>1.47</v>
      </c>
      <c r="M34" s="527"/>
      <c r="N34" s="524">
        <f t="shared" si="11"/>
        <v>1.47</v>
      </c>
      <c r="O34" s="521"/>
      <c r="P34" s="521"/>
      <c r="Q34" s="524"/>
      <c r="R34" s="521"/>
      <c r="S34" s="521"/>
      <c r="T34" s="521"/>
      <c r="U34" s="527"/>
      <c r="V34" s="527"/>
      <c r="W34" s="521"/>
      <c r="X34" s="524">
        <f t="shared" si="6"/>
        <v>0.4935</v>
      </c>
      <c r="Y34" s="528">
        <f t="shared" si="7"/>
        <v>130228979.99999997</v>
      </c>
      <c r="Z34" s="529"/>
      <c r="AA34" s="530"/>
      <c r="AB34" s="530"/>
      <c r="AC34" s="530"/>
      <c r="AD34" s="530"/>
    </row>
    <row r="35" spans="1:30" ht="15">
      <c r="A35" s="519">
        <v>17</v>
      </c>
      <c r="B35" s="541" t="s">
        <v>367</v>
      </c>
      <c r="C35" s="521"/>
      <c r="D35" s="521"/>
      <c r="E35" s="521">
        <f t="shared" si="8"/>
        <v>8.25535</v>
      </c>
      <c r="F35" s="522">
        <v>2.41</v>
      </c>
      <c r="G35" s="521">
        <f t="shared" si="5"/>
        <v>5.279</v>
      </c>
      <c r="H35" s="523">
        <v>0.7</v>
      </c>
      <c r="I35" s="524"/>
      <c r="J35" s="521"/>
      <c r="K35" s="525">
        <f t="shared" si="9"/>
        <v>1.205</v>
      </c>
      <c r="L35" s="524">
        <f t="shared" si="10"/>
        <v>1.687</v>
      </c>
      <c r="M35" s="527"/>
      <c r="N35" s="524">
        <f t="shared" si="11"/>
        <v>1.687</v>
      </c>
      <c r="O35" s="521"/>
      <c r="P35" s="521"/>
      <c r="Q35" s="524"/>
      <c r="R35" s="521"/>
      <c r="S35" s="521"/>
      <c r="T35" s="521"/>
      <c r="U35" s="527"/>
      <c r="V35" s="527"/>
      <c r="W35" s="521"/>
      <c r="X35" s="524">
        <f t="shared" si="6"/>
        <v>0.56635</v>
      </c>
      <c r="Y35" s="528">
        <f t="shared" si="7"/>
        <v>147605658</v>
      </c>
      <c r="Z35" s="529"/>
      <c r="AA35" s="530"/>
      <c r="AB35" s="530"/>
      <c r="AC35" s="530"/>
      <c r="AD35" s="530"/>
    </row>
    <row r="36" spans="1:30" ht="15">
      <c r="A36" s="519">
        <v>18</v>
      </c>
      <c r="B36" s="541" t="s">
        <v>368</v>
      </c>
      <c r="C36" s="521"/>
      <c r="D36" s="521"/>
      <c r="E36" s="521">
        <f t="shared" si="8"/>
        <v>8.4041675</v>
      </c>
      <c r="F36" s="522">
        <v>2.41</v>
      </c>
      <c r="G36" s="521">
        <f t="shared" si="5"/>
        <v>5.3995</v>
      </c>
      <c r="H36" s="523">
        <v>0.7</v>
      </c>
      <c r="I36" s="524"/>
      <c r="J36" s="521"/>
      <c r="K36" s="525">
        <f t="shared" si="9"/>
        <v>1.205</v>
      </c>
      <c r="L36" s="524">
        <f t="shared" si="10"/>
        <v>1.687</v>
      </c>
      <c r="M36" s="527">
        <f>0.05*(F36+I36+J36)</f>
        <v>0.12050000000000001</v>
      </c>
      <c r="N36" s="524">
        <f t="shared" si="11"/>
        <v>1.687</v>
      </c>
      <c r="O36" s="521"/>
      <c r="P36" s="521"/>
      <c r="Q36" s="524"/>
      <c r="R36" s="521"/>
      <c r="S36" s="521"/>
      <c r="T36" s="521"/>
      <c r="U36" s="527"/>
      <c r="V36" s="527"/>
      <c r="W36" s="521"/>
      <c r="X36" s="524">
        <f t="shared" si="6"/>
        <v>0.5946674999999999</v>
      </c>
      <c r="Y36" s="528">
        <f t="shared" si="7"/>
        <v>150266514.89999998</v>
      </c>
      <c r="Z36" s="529"/>
      <c r="AA36" s="530"/>
      <c r="AB36" s="530"/>
      <c r="AC36" s="530"/>
      <c r="AD36" s="530"/>
    </row>
    <row r="37" spans="1:30" ht="15">
      <c r="A37" s="519">
        <v>19</v>
      </c>
      <c r="B37" s="541" t="s">
        <v>369</v>
      </c>
      <c r="C37" s="521"/>
      <c r="D37" s="521"/>
      <c r="E37" s="521">
        <f t="shared" si="8"/>
        <v>7.283499999999999</v>
      </c>
      <c r="F37" s="522">
        <v>2.1</v>
      </c>
      <c r="G37" s="521">
        <f t="shared" si="5"/>
        <v>4.6899999999999995</v>
      </c>
      <c r="H37" s="523">
        <v>0.7</v>
      </c>
      <c r="I37" s="524"/>
      <c r="J37" s="521"/>
      <c r="K37" s="525">
        <f t="shared" si="9"/>
        <v>1.05</v>
      </c>
      <c r="L37" s="524">
        <f>(F37+I37+J37)*70%</f>
        <v>1.47</v>
      </c>
      <c r="M37" s="527"/>
      <c r="N37" s="524">
        <f>(F37+I37)*0.7</f>
        <v>1.47</v>
      </c>
      <c r="O37" s="521"/>
      <c r="P37" s="521"/>
      <c r="Q37" s="524"/>
      <c r="R37" s="521"/>
      <c r="S37" s="521"/>
      <c r="T37" s="521"/>
      <c r="U37" s="527"/>
      <c r="V37" s="527"/>
      <c r="W37" s="521"/>
      <c r="X37" s="524">
        <f t="shared" si="6"/>
        <v>0.4935</v>
      </c>
      <c r="Y37" s="528">
        <f>E37*1490000*12</f>
        <v>130228979.99999997</v>
      </c>
      <c r="Z37" s="529"/>
      <c r="AA37" s="530"/>
      <c r="AB37" s="530"/>
      <c r="AC37" s="530"/>
      <c r="AD37" s="530"/>
    </row>
    <row r="38" spans="1:30" ht="15">
      <c r="A38" s="519">
        <v>20</v>
      </c>
      <c r="B38" s="541" t="s">
        <v>370</v>
      </c>
      <c r="C38" s="521"/>
      <c r="D38" s="521"/>
      <c r="E38" s="521">
        <f t="shared" si="8"/>
        <v>7.283499999999999</v>
      </c>
      <c r="F38" s="522">
        <v>2.1</v>
      </c>
      <c r="G38" s="521">
        <f t="shared" si="5"/>
        <v>4.6899999999999995</v>
      </c>
      <c r="H38" s="523">
        <v>0.7</v>
      </c>
      <c r="I38" s="524"/>
      <c r="J38" s="521"/>
      <c r="K38" s="525">
        <f t="shared" si="9"/>
        <v>1.05</v>
      </c>
      <c r="L38" s="524">
        <f>(F38+I38+J38)*70%</f>
        <v>1.47</v>
      </c>
      <c r="M38" s="527"/>
      <c r="N38" s="524">
        <f>(F38+I38)*0.7</f>
        <v>1.47</v>
      </c>
      <c r="O38" s="521"/>
      <c r="P38" s="521"/>
      <c r="Q38" s="524"/>
      <c r="R38" s="521"/>
      <c r="S38" s="521"/>
      <c r="T38" s="521"/>
      <c r="U38" s="527"/>
      <c r="V38" s="527"/>
      <c r="W38" s="521"/>
      <c r="X38" s="524">
        <f t="shared" si="6"/>
        <v>0.4935</v>
      </c>
      <c r="Y38" s="528">
        <f>E38*1490000*12</f>
        <v>130228979.99999997</v>
      </c>
      <c r="Z38" s="529"/>
      <c r="AA38" s="530"/>
      <c r="AB38" s="530"/>
      <c r="AC38" s="530"/>
      <c r="AD38" s="530"/>
    </row>
    <row r="39" spans="1:30" ht="15">
      <c r="A39" s="519">
        <v>21</v>
      </c>
      <c r="B39" s="541" t="s">
        <v>371</v>
      </c>
      <c r="C39" s="521"/>
      <c r="D39" s="521"/>
      <c r="E39" s="521">
        <f t="shared" si="8"/>
        <v>6.5311</v>
      </c>
      <c r="F39" s="522">
        <v>1.86</v>
      </c>
      <c r="G39" s="521">
        <f t="shared" si="5"/>
        <v>4.234</v>
      </c>
      <c r="H39" s="523">
        <v>0.7</v>
      </c>
      <c r="I39" s="524"/>
      <c r="J39" s="521"/>
      <c r="K39" s="525">
        <f t="shared" si="9"/>
        <v>0.93</v>
      </c>
      <c r="L39" s="524">
        <f>(F39+I39+J39)*70%</f>
        <v>1.302</v>
      </c>
      <c r="M39" s="527"/>
      <c r="N39" s="524">
        <f>(F39+I39)*0.7</f>
        <v>1.302</v>
      </c>
      <c r="O39" s="521"/>
      <c r="P39" s="521"/>
      <c r="Q39" s="524"/>
      <c r="R39" s="521"/>
      <c r="S39" s="521"/>
      <c r="T39" s="521"/>
      <c r="U39" s="527"/>
      <c r="V39" s="527"/>
      <c r="W39" s="521"/>
      <c r="X39" s="524">
        <f t="shared" si="6"/>
        <v>0.4371</v>
      </c>
      <c r="Y39" s="528">
        <f>E39*1490000*12</f>
        <v>116776068</v>
      </c>
      <c r="Z39" s="529"/>
      <c r="AA39" s="530"/>
      <c r="AB39" s="530"/>
      <c r="AC39" s="530"/>
      <c r="AD39" s="530"/>
    </row>
    <row r="40" spans="1:30" ht="15">
      <c r="A40" s="519">
        <v>22</v>
      </c>
      <c r="B40" s="541" t="s">
        <v>372</v>
      </c>
      <c r="C40" s="521"/>
      <c r="D40" s="521"/>
      <c r="E40" s="521">
        <f t="shared" si="8"/>
        <v>6.5311</v>
      </c>
      <c r="F40" s="522">
        <v>1.86</v>
      </c>
      <c r="G40" s="521">
        <f t="shared" si="5"/>
        <v>4.234</v>
      </c>
      <c r="H40" s="523">
        <v>0.7</v>
      </c>
      <c r="I40" s="524"/>
      <c r="J40" s="521"/>
      <c r="K40" s="525">
        <f t="shared" si="9"/>
        <v>0.93</v>
      </c>
      <c r="L40" s="524">
        <f>(F40+I40+J40)*70%</f>
        <v>1.302</v>
      </c>
      <c r="M40" s="527"/>
      <c r="N40" s="524">
        <f>(F40+I40)*0.7</f>
        <v>1.302</v>
      </c>
      <c r="O40" s="521"/>
      <c r="P40" s="521"/>
      <c r="Q40" s="524"/>
      <c r="R40" s="521"/>
      <c r="S40" s="521"/>
      <c r="T40" s="521"/>
      <c r="U40" s="527"/>
      <c r="V40" s="527"/>
      <c r="W40" s="521"/>
      <c r="X40" s="524">
        <f t="shared" si="6"/>
        <v>0.4371</v>
      </c>
      <c r="Y40" s="528">
        <f>E40*1490000*12</f>
        <v>116776068</v>
      </c>
      <c r="Z40" s="529"/>
      <c r="AA40" s="530"/>
      <c r="AB40" s="530"/>
      <c r="AC40" s="530"/>
      <c r="AD40" s="530"/>
    </row>
    <row r="41" spans="1:30" ht="15">
      <c r="A41" s="504" t="s">
        <v>373</v>
      </c>
      <c r="B41" s="543" t="s">
        <v>374</v>
      </c>
      <c r="C41" s="501">
        <f>+C42</f>
        <v>20</v>
      </c>
      <c r="D41" s="501">
        <f>+D42</f>
        <v>20</v>
      </c>
      <c r="E41" s="501">
        <f>+E42</f>
        <v>171.892274</v>
      </c>
      <c r="F41" s="501">
        <f aca="true" t="shared" si="12" ref="F41:X41">+F42</f>
        <v>49.180000000000014</v>
      </c>
      <c r="G41" s="501">
        <f t="shared" si="12"/>
        <v>109.9874</v>
      </c>
      <c r="H41" s="501">
        <f t="shared" si="12"/>
        <v>13.999999999999995</v>
      </c>
      <c r="I41" s="501">
        <f t="shared" si="12"/>
        <v>1.7999999999999998</v>
      </c>
      <c r="J41" s="501">
        <f t="shared" si="12"/>
        <v>0</v>
      </c>
      <c r="K41" s="501">
        <f t="shared" si="12"/>
        <v>25.490000000000006</v>
      </c>
      <c r="L41" s="501">
        <f t="shared" si="12"/>
        <v>27.642999999999997</v>
      </c>
      <c r="M41" s="501">
        <f t="shared" si="12"/>
        <v>3.1684</v>
      </c>
      <c r="N41" s="501">
        <f t="shared" si="12"/>
        <v>35.68599999999999</v>
      </c>
      <c r="O41" s="501">
        <f t="shared" si="12"/>
        <v>0</v>
      </c>
      <c r="P41" s="501">
        <f t="shared" si="12"/>
        <v>0</v>
      </c>
      <c r="Q41" s="501">
        <f t="shared" si="12"/>
        <v>2.2</v>
      </c>
      <c r="R41" s="501">
        <f t="shared" si="12"/>
        <v>0</v>
      </c>
      <c r="S41" s="501">
        <f t="shared" si="12"/>
        <v>0</v>
      </c>
      <c r="T41" s="501">
        <f t="shared" si="12"/>
        <v>0</v>
      </c>
      <c r="U41" s="501">
        <f t="shared" si="12"/>
        <v>0</v>
      </c>
      <c r="V41" s="501">
        <f t="shared" si="12"/>
        <v>0</v>
      </c>
      <c r="W41" s="501">
        <f t="shared" si="12"/>
        <v>0</v>
      </c>
      <c r="X41" s="501">
        <f t="shared" si="12"/>
        <v>12.724873999999996</v>
      </c>
      <c r="Y41" s="501">
        <f>+Y42</f>
        <v>3073434000</v>
      </c>
      <c r="Z41" s="503"/>
      <c r="AA41" s="17"/>
      <c r="AB41" s="17"/>
      <c r="AC41" s="17"/>
      <c r="AD41" s="17"/>
    </row>
    <row r="42" spans="1:30" ht="15">
      <c r="A42" s="504" t="s">
        <v>88</v>
      </c>
      <c r="B42" s="10" t="s">
        <v>75</v>
      </c>
      <c r="C42" s="501">
        <v>20</v>
      </c>
      <c r="D42" s="501">
        <v>20</v>
      </c>
      <c r="E42" s="501">
        <f>SUM(E43:E64)</f>
        <v>171.892274</v>
      </c>
      <c r="F42" s="501">
        <f aca="true" t="shared" si="13" ref="F42:X42">SUM(F43:F64)</f>
        <v>49.180000000000014</v>
      </c>
      <c r="G42" s="501">
        <f t="shared" si="13"/>
        <v>109.9874</v>
      </c>
      <c r="H42" s="501">
        <f t="shared" si="13"/>
        <v>13.999999999999995</v>
      </c>
      <c r="I42" s="501">
        <f t="shared" si="13"/>
        <v>1.7999999999999998</v>
      </c>
      <c r="J42" s="501">
        <f t="shared" si="13"/>
        <v>0</v>
      </c>
      <c r="K42" s="501">
        <f t="shared" si="13"/>
        <v>25.490000000000006</v>
      </c>
      <c r="L42" s="501">
        <f t="shared" si="13"/>
        <v>27.642999999999997</v>
      </c>
      <c r="M42" s="501">
        <f t="shared" si="13"/>
        <v>3.1684</v>
      </c>
      <c r="N42" s="501">
        <f t="shared" si="13"/>
        <v>35.68599999999999</v>
      </c>
      <c r="O42" s="501">
        <f t="shared" si="13"/>
        <v>0</v>
      </c>
      <c r="P42" s="501">
        <f t="shared" si="13"/>
        <v>0</v>
      </c>
      <c r="Q42" s="501">
        <f t="shared" si="13"/>
        <v>2.2</v>
      </c>
      <c r="R42" s="501">
        <f t="shared" si="13"/>
        <v>0</v>
      </c>
      <c r="S42" s="501">
        <f t="shared" si="13"/>
        <v>0</v>
      </c>
      <c r="T42" s="501">
        <f t="shared" si="13"/>
        <v>0</v>
      </c>
      <c r="U42" s="501">
        <f t="shared" si="13"/>
        <v>0</v>
      </c>
      <c r="V42" s="501">
        <f t="shared" si="13"/>
        <v>0</v>
      </c>
      <c r="W42" s="501">
        <f t="shared" si="13"/>
        <v>0</v>
      </c>
      <c r="X42" s="501">
        <f t="shared" si="13"/>
        <v>12.724873999999996</v>
      </c>
      <c r="Y42" s="501">
        <f>ROUNDUP(SUM(Y43:Y64),-3)</f>
        <v>3073434000</v>
      </c>
      <c r="Z42" s="503"/>
      <c r="AA42" s="17"/>
      <c r="AB42" s="17"/>
      <c r="AC42" s="17"/>
      <c r="AD42" s="17"/>
    </row>
    <row r="43" spans="1:30" ht="15">
      <c r="A43" s="519">
        <v>1</v>
      </c>
      <c r="B43" s="541" t="s">
        <v>375</v>
      </c>
      <c r="C43" s="521"/>
      <c r="D43" s="521"/>
      <c r="E43" s="521">
        <f>F43+G43+X43</f>
        <v>15.63825</v>
      </c>
      <c r="F43" s="544">
        <v>4.58</v>
      </c>
      <c r="G43" s="521">
        <f aca="true" t="shared" si="14" ref="G43:G51">SUM(H43:W43)</f>
        <v>9.565999999999999</v>
      </c>
      <c r="H43" s="524">
        <v>0.7</v>
      </c>
      <c r="I43" s="524">
        <v>0.5</v>
      </c>
      <c r="J43" s="521"/>
      <c r="K43" s="524">
        <f>(F43+I43+J43)*0.5</f>
        <v>2.54</v>
      </c>
      <c r="L43" s="545"/>
      <c r="M43" s="524">
        <f>(F43+I43)*0.25</f>
        <v>1.27</v>
      </c>
      <c r="N43" s="524">
        <f>(F43+I43)*0.7</f>
        <v>3.5559999999999996</v>
      </c>
      <c r="O43" s="521"/>
      <c r="P43" s="521"/>
      <c r="Q43" s="524">
        <v>1</v>
      </c>
      <c r="R43" s="521"/>
      <c r="S43" s="521"/>
      <c r="T43" s="521"/>
      <c r="U43" s="545"/>
      <c r="V43" s="545"/>
      <c r="W43" s="521"/>
      <c r="X43" s="524">
        <f>(F43+I43+M43+U43)*23.5%</f>
        <v>1.4922499999999999</v>
      </c>
      <c r="Y43" s="528">
        <f>E43*1490000*12</f>
        <v>279611910</v>
      </c>
      <c r="Z43" s="529"/>
      <c r="AA43" s="530"/>
      <c r="AB43" s="530"/>
      <c r="AC43" s="530"/>
      <c r="AD43" s="530"/>
    </row>
    <row r="44" spans="1:30" ht="15">
      <c r="A44" s="519">
        <v>2</v>
      </c>
      <c r="B44" s="541" t="s">
        <v>376</v>
      </c>
      <c r="C44" s="521"/>
      <c r="D44" s="521"/>
      <c r="E44" s="521">
        <f aca="true" t="shared" si="15" ref="E44:E62">F44+G44+X44</f>
        <v>11.0687225</v>
      </c>
      <c r="F44" s="544">
        <v>3.34</v>
      </c>
      <c r="G44" s="546">
        <f t="shared" si="14"/>
        <v>6.7315</v>
      </c>
      <c r="H44" s="524">
        <v>0.7</v>
      </c>
      <c r="I44" s="524">
        <v>0.35</v>
      </c>
      <c r="J44" s="521"/>
      <c r="K44" s="524">
        <f aca="true" t="shared" si="16" ref="K44:K51">(F44+I44+J44)*0.5</f>
        <v>1.845</v>
      </c>
      <c r="L44" s="545"/>
      <c r="M44" s="524">
        <f>(F44+I44)*0.15</f>
        <v>0.5535</v>
      </c>
      <c r="N44" s="524">
        <f aca="true" t="shared" si="17" ref="N44:N62">(F44+I44)*0.7</f>
        <v>2.5829999999999997</v>
      </c>
      <c r="O44" s="521"/>
      <c r="P44" s="521"/>
      <c r="Q44" s="524">
        <v>0.7</v>
      </c>
      <c r="R44" s="521"/>
      <c r="S44" s="521"/>
      <c r="T44" s="521"/>
      <c r="U44" s="545"/>
      <c r="V44" s="545"/>
      <c r="W44" s="521"/>
      <c r="X44" s="524">
        <f aca="true" t="shared" si="18" ref="X44:X64">(F44+I44+M44+U44)*23.5%</f>
        <v>0.9972224999999999</v>
      </c>
      <c r="Y44" s="528">
        <f aca="true" t="shared" si="19" ref="Y44:Y51">E44*1490000*12</f>
        <v>197908758.3</v>
      </c>
      <c r="Z44" s="529"/>
      <c r="AA44" s="530"/>
      <c r="AB44" s="530"/>
      <c r="AC44" s="530"/>
      <c r="AD44" s="530"/>
    </row>
    <row r="45" spans="1:30" ht="15">
      <c r="A45" s="519">
        <v>3</v>
      </c>
      <c r="B45" s="541" t="s">
        <v>377</v>
      </c>
      <c r="C45" s="521"/>
      <c r="D45" s="521"/>
      <c r="E45" s="521">
        <f t="shared" si="15"/>
        <v>8.091936</v>
      </c>
      <c r="F45" s="547">
        <v>2.72</v>
      </c>
      <c r="G45" s="548">
        <f t="shared" si="14"/>
        <v>4.6815999999999995</v>
      </c>
      <c r="H45" s="524">
        <v>0.7</v>
      </c>
      <c r="I45" s="524"/>
      <c r="J45" s="521"/>
      <c r="K45" s="524">
        <f>(F45+J45)*0.5</f>
        <v>1.36</v>
      </c>
      <c r="L45" s="524"/>
      <c r="M45" s="524">
        <f>(F45+I45)*0.08</f>
        <v>0.21760000000000002</v>
      </c>
      <c r="N45" s="524">
        <f t="shared" si="17"/>
        <v>1.904</v>
      </c>
      <c r="O45" s="521"/>
      <c r="P45" s="521"/>
      <c r="Q45" s="524">
        <v>0.5</v>
      </c>
      <c r="R45" s="521"/>
      <c r="S45" s="521"/>
      <c r="T45" s="521"/>
      <c r="U45" s="549"/>
      <c r="V45" s="530"/>
      <c r="W45" s="521"/>
      <c r="X45" s="524">
        <f t="shared" si="18"/>
        <v>0.6903360000000001</v>
      </c>
      <c r="Y45" s="528">
        <f t="shared" si="19"/>
        <v>144683815.68</v>
      </c>
      <c r="Z45" s="529"/>
      <c r="AA45" s="530"/>
      <c r="AB45" s="530"/>
      <c r="AC45" s="530"/>
      <c r="AD45" s="530"/>
    </row>
    <row r="46" spans="1:30" ht="15">
      <c r="A46" s="519">
        <v>4</v>
      </c>
      <c r="B46" s="541" t="s">
        <v>378</v>
      </c>
      <c r="C46" s="521"/>
      <c r="D46" s="521"/>
      <c r="E46" s="521">
        <f t="shared" si="15"/>
        <v>9.428752000000001</v>
      </c>
      <c r="F46" s="544">
        <v>2.72</v>
      </c>
      <c r="G46" s="521">
        <f t="shared" si="14"/>
        <v>6.0312</v>
      </c>
      <c r="H46" s="524">
        <v>0.7</v>
      </c>
      <c r="I46" s="524"/>
      <c r="J46" s="521"/>
      <c r="K46" s="524">
        <f>(F46+J46)*0.5</f>
        <v>1.36</v>
      </c>
      <c r="L46" s="524">
        <f>F46*0.7</f>
        <v>1.904</v>
      </c>
      <c r="M46" s="524">
        <f>(F46+I46)*0.06</f>
        <v>0.1632</v>
      </c>
      <c r="N46" s="524">
        <f t="shared" si="17"/>
        <v>1.904</v>
      </c>
      <c r="O46" s="521"/>
      <c r="P46" s="521"/>
      <c r="Q46" s="524"/>
      <c r="R46" s="521"/>
      <c r="S46" s="521"/>
      <c r="T46" s="521"/>
      <c r="U46" s="545"/>
      <c r="V46" s="545"/>
      <c r="W46" s="521"/>
      <c r="X46" s="524">
        <f t="shared" si="18"/>
        <v>0.677552</v>
      </c>
      <c r="Y46" s="528">
        <f t="shared" si="19"/>
        <v>168586085.76000002</v>
      </c>
      <c r="Z46" s="529"/>
      <c r="AA46" s="530"/>
      <c r="AB46" s="530"/>
      <c r="AC46" s="530"/>
      <c r="AD46" s="530"/>
    </row>
    <row r="47" spans="1:30" ht="15">
      <c r="A47" s="519">
        <v>5</v>
      </c>
      <c r="B47" s="541" t="s">
        <v>379</v>
      </c>
      <c r="C47" s="521"/>
      <c r="D47" s="521"/>
      <c r="E47" s="521">
        <f t="shared" si="15"/>
        <v>9.495936</v>
      </c>
      <c r="F47" s="547">
        <v>2.72</v>
      </c>
      <c r="G47" s="548">
        <f>SUM(H47:W47)</f>
        <v>6.0855999999999995</v>
      </c>
      <c r="H47" s="524">
        <v>0.7</v>
      </c>
      <c r="I47" s="524"/>
      <c r="J47" s="521"/>
      <c r="K47" s="524">
        <f>(F47+J47)*0.5</f>
        <v>1.36</v>
      </c>
      <c r="L47" s="524">
        <f aca="true" t="shared" si="20" ref="L47:L62">0.7*(F47+I47)</f>
        <v>1.904</v>
      </c>
      <c r="M47" s="524">
        <f>(F47+I47)*0.08</f>
        <v>0.21760000000000002</v>
      </c>
      <c r="N47" s="524">
        <f t="shared" si="17"/>
        <v>1.904</v>
      </c>
      <c r="O47" s="521"/>
      <c r="P47" s="521"/>
      <c r="Q47" s="524"/>
      <c r="R47" s="521"/>
      <c r="S47" s="521"/>
      <c r="T47" s="521"/>
      <c r="U47" s="545"/>
      <c r="V47" s="545"/>
      <c r="W47" s="521"/>
      <c r="X47" s="524">
        <f t="shared" si="18"/>
        <v>0.6903360000000001</v>
      </c>
      <c r="Y47" s="528">
        <f>E47*1490000*12</f>
        <v>169787335.68</v>
      </c>
      <c r="Z47" s="529"/>
      <c r="AA47" s="530"/>
      <c r="AB47" s="530"/>
      <c r="AC47" s="530"/>
      <c r="AD47" s="530"/>
    </row>
    <row r="48" spans="1:30" ht="15">
      <c r="A48" s="519">
        <v>6</v>
      </c>
      <c r="B48" s="541" t="s">
        <v>380</v>
      </c>
      <c r="C48" s="521"/>
      <c r="D48" s="521"/>
      <c r="E48" s="521">
        <f t="shared" si="15"/>
        <v>10.5898515</v>
      </c>
      <c r="F48" s="547">
        <v>2.72</v>
      </c>
      <c r="G48" s="548">
        <f t="shared" si="14"/>
        <v>7.0979</v>
      </c>
      <c r="H48" s="524">
        <v>0.7</v>
      </c>
      <c r="I48" s="524">
        <v>0.35</v>
      </c>
      <c r="J48" s="521"/>
      <c r="K48" s="524">
        <f t="shared" si="16"/>
        <v>1.5350000000000001</v>
      </c>
      <c r="L48" s="524">
        <f t="shared" si="20"/>
        <v>2.149</v>
      </c>
      <c r="M48" s="524">
        <f>(F48+I48)*0.07</f>
        <v>0.21490000000000004</v>
      </c>
      <c r="N48" s="524">
        <f t="shared" si="17"/>
        <v>2.149</v>
      </c>
      <c r="O48" s="521"/>
      <c r="P48" s="521"/>
      <c r="Q48" s="524"/>
      <c r="R48" s="521"/>
      <c r="S48" s="521"/>
      <c r="T48" s="521"/>
      <c r="U48" s="524"/>
      <c r="V48" s="524"/>
      <c r="W48" s="521"/>
      <c r="X48" s="524">
        <f t="shared" si="18"/>
        <v>0.7719515</v>
      </c>
      <c r="Y48" s="528">
        <f t="shared" si="19"/>
        <v>189346544.82</v>
      </c>
      <c r="Z48" s="529"/>
      <c r="AA48" s="530"/>
      <c r="AB48" s="530"/>
      <c r="AC48" s="530"/>
      <c r="AD48" s="530"/>
    </row>
    <row r="49" spans="1:30" ht="15">
      <c r="A49" s="519">
        <v>7</v>
      </c>
      <c r="B49" s="541" t="s">
        <v>381</v>
      </c>
      <c r="C49" s="521"/>
      <c r="D49" s="521"/>
      <c r="E49" s="521">
        <f t="shared" si="15"/>
        <v>8.433931000000001</v>
      </c>
      <c r="F49" s="544">
        <v>2.41</v>
      </c>
      <c r="G49" s="521">
        <f t="shared" si="14"/>
        <v>5.4236</v>
      </c>
      <c r="H49" s="524">
        <v>0.7</v>
      </c>
      <c r="I49" s="545"/>
      <c r="J49" s="521"/>
      <c r="K49" s="524">
        <f t="shared" si="16"/>
        <v>1.205</v>
      </c>
      <c r="L49" s="524">
        <f t="shared" si="20"/>
        <v>1.687</v>
      </c>
      <c r="M49" s="524">
        <f>(F49+I49)*0.06</f>
        <v>0.1446</v>
      </c>
      <c r="N49" s="524">
        <f t="shared" si="17"/>
        <v>1.687</v>
      </c>
      <c r="O49" s="521"/>
      <c r="P49" s="521"/>
      <c r="Q49" s="545"/>
      <c r="R49" s="521"/>
      <c r="S49" s="521"/>
      <c r="T49" s="521"/>
      <c r="U49" s="545"/>
      <c r="V49" s="545"/>
      <c r="W49" s="521"/>
      <c r="X49" s="524">
        <f t="shared" si="18"/>
        <v>0.6003310000000001</v>
      </c>
      <c r="Y49" s="528">
        <f t="shared" si="19"/>
        <v>150798686.28000003</v>
      </c>
      <c r="Z49" s="529"/>
      <c r="AA49" s="530"/>
      <c r="AB49" s="530"/>
      <c r="AC49" s="530"/>
      <c r="AD49" s="530"/>
    </row>
    <row r="50" spans="1:30" ht="15">
      <c r="A50" s="519">
        <v>8</v>
      </c>
      <c r="B50" s="541" t="s">
        <v>382</v>
      </c>
      <c r="C50" s="521"/>
      <c r="D50" s="521"/>
      <c r="E50" s="521">
        <f t="shared" si="15"/>
        <v>8.88235</v>
      </c>
      <c r="F50" s="544">
        <v>2.41</v>
      </c>
      <c r="G50" s="546">
        <f t="shared" si="14"/>
        <v>5.859</v>
      </c>
      <c r="H50" s="524">
        <v>0.7</v>
      </c>
      <c r="I50" s="545">
        <v>0.2</v>
      </c>
      <c r="J50" s="521"/>
      <c r="K50" s="524">
        <f t="shared" si="16"/>
        <v>1.3050000000000002</v>
      </c>
      <c r="L50" s="524">
        <f t="shared" si="20"/>
        <v>1.8270000000000002</v>
      </c>
      <c r="M50" s="545"/>
      <c r="N50" s="524">
        <f t="shared" si="17"/>
        <v>1.8270000000000002</v>
      </c>
      <c r="O50" s="521"/>
      <c r="P50" s="521"/>
      <c r="Q50" s="545"/>
      <c r="R50" s="521"/>
      <c r="S50" s="521"/>
      <c r="T50" s="521"/>
      <c r="U50" s="545"/>
      <c r="V50" s="545"/>
      <c r="W50" s="521"/>
      <c r="X50" s="524">
        <f t="shared" si="18"/>
        <v>0.6133500000000001</v>
      </c>
      <c r="Y50" s="528">
        <f t="shared" si="19"/>
        <v>158816418.00000003</v>
      </c>
      <c r="Z50" s="529"/>
      <c r="AA50" s="530"/>
      <c r="AB50" s="530"/>
      <c r="AC50" s="530"/>
      <c r="AD50" s="530"/>
    </row>
    <row r="51" spans="1:30" ht="15">
      <c r="A51" s="519">
        <v>9</v>
      </c>
      <c r="B51" s="541" t="s">
        <v>383</v>
      </c>
      <c r="C51" s="521"/>
      <c r="D51" s="521"/>
      <c r="E51" s="521">
        <f t="shared" si="15"/>
        <v>7.283499999999999</v>
      </c>
      <c r="F51" s="544">
        <v>2.1</v>
      </c>
      <c r="G51" s="521">
        <f t="shared" si="14"/>
        <v>4.6899999999999995</v>
      </c>
      <c r="H51" s="524">
        <v>0.7</v>
      </c>
      <c r="I51" s="545"/>
      <c r="J51" s="521"/>
      <c r="K51" s="524">
        <f t="shared" si="16"/>
        <v>1.05</v>
      </c>
      <c r="L51" s="524">
        <f t="shared" si="20"/>
        <v>1.47</v>
      </c>
      <c r="M51" s="545"/>
      <c r="N51" s="524">
        <f t="shared" si="17"/>
        <v>1.47</v>
      </c>
      <c r="O51" s="521"/>
      <c r="P51" s="521"/>
      <c r="Q51" s="545"/>
      <c r="R51" s="521"/>
      <c r="S51" s="521"/>
      <c r="T51" s="521"/>
      <c r="U51" s="545"/>
      <c r="V51" s="545"/>
      <c r="W51" s="521"/>
      <c r="X51" s="524">
        <f t="shared" si="18"/>
        <v>0.4935</v>
      </c>
      <c r="Y51" s="528">
        <f t="shared" si="19"/>
        <v>130228979.99999997</v>
      </c>
      <c r="Z51" s="529"/>
      <c r="AA51" s="530"/>
      <c r="AB51" s="530"/>
      <c r="AC51" s="530"/>
      <c r="AD51" s="530"/>
    </row>
    <row r="52" spans="1:30" ht="15">
      <c r="A52" s="519">
        <v>10</v>
      </c>
      <c r="B52" s="541" t="s">
        <v>384</v>
      </c>
      <c r="C52" s="521"/>
      <c r="D52" s="521"/>
      <c r="E52" s="521">
        <f>F52+G52+X52</f>
        <v>7.283499999999999</v>
      </c>
      <c r="F52" s="544">
        <v>2.1</v>
      </c>
      <c r="G52" s="521">
        <f>SUM(H52:W52)</f>
        <v>4.6899999999999995</v>
      </c>
      <c r="H52" s="524">
        <v>0.7</v>
      </c>
      <c r="I52" s="545"/>
      <c r="J52" s="521"/>
      <c r="K52" s="524">
        <f>(F52+I52+J52)*0.5</f>
        <v>1.05</v>
      </c>
      <c r="L52" s="524">
        <f t="shared" si="20"/>
        <v>1.47</v>
      </c>
      <c r="M52" s="545"/>
      <c r="N52" s="524">
        <f>(F52+I52)*0.7</f>
        <v>1.47</v>
      </c>
      <c r="O52" s="521"/>
      <c r="P52" s="521"/>
      <c r="Q52" s="545"/>
      <c r="R52" s="521"/>
      <c r="S52" s="521"/>
      <c r="T52" s="521"/>
      <c r="U52" s="545"/>
      <c r="V52" s="545"/>
      <c r="W52" s="521"/>
      <c r="X52" s="524">
        <f>(F52+I52+M52+U52)*23.5%</f>
        <v>0.4935</v>
      </c>
      <c r="Y52" s="528">
        <f>E52*1490000*12</f>
        <v>130228979.99999997</v>
      </c>
      <c r="Z52" s="529"/>
      <c r="AA52" s="530"/>
      <c r="AB52" s="530"/>
      <c r="AC52" s="530"/>
      <c r="AD52" s="530"/>
    </row>
    <row r="53" spans="1:30" ht="15">
      <c r="A53" s="519">
        <v>11</v>
      </c>
      <c r="B53" s="541" t="s">
        <v>385</v>
      </c>
      <c r="C53" s="521"/>
      <c r="D53" s="521"/>
      <c r="E53" s="521">
        <f t="shared" si="15"/>
        <v>9.334759000000002</v>
      </c>
      <c r="F53" s="544">
        <v>2.66</v>
      </c>
      <c r="G53" s="521">
        <f aca="true" t="shared" si="21" ref="G53:G64">SUM(H53:W53)</f>
        <v>5.9934</v>
      </c>
      <c r="H53" s="524">
        <v>0.7</v>
      </c>
      <c r="I53" s="524"/>
      <c r="J53" s="521"/>
      <c r="K53" s="524">
        <f>(F53+J53)*0.5</f>
        <v>1.33</v>
      </c>
      <c r="L53" s="524">
        <f t="shared" si="20"/>
        <v>1.8619999999999999</v>
      </c>
      <c r="M53" s="524">
        <f>(F53+I53)*0.09</f>
        <v>0.2394</v>
      </c>
      <c r="N53" s="524">
        <f t="shared" si="17"/>
        <v>1.8619999999999999</v>
      </c>
      <c r="O53" s="521"/>
      <c r="P53" s="521"/>
      <c r="Q53" s="545"/>
      <c r="R53" s="521"/>
      <c r="S53" s="521"/>
      <c r="T53" s="521"/>
      <c r="U53" s="545"/>
      <c r="V53" s="545"/>
      <c r="W53" s="521"/>
      <c r="X53" s="524">
        <f aca="true" t="shared" si="22" ref="X53:X62">(F53+I53+M53+U53)*23.5%</f>
        <v>0.6813589999999999</v>
      </c>
      <c r="Y53" s="528">
        <f aca="true" t="shared" si="23" ref="Y53:Y64">E53*1490000*12</f>
        <v>166905490.92000002</v>
      </c>
      <c r="Z53" s="529"/>
      <c r="AA53" s="530"/>
      <c r="AB53" s="530"/>
      <c r="AC53" s="530"/>
      <c r="AD53" s="530"/>
    </row>
    <row r="54" spans="1:30" ht="15">
      <c r="A54" s="519">
        <v>12</v>
      </c>
      <c r="B54" s="541" t="s">
        <v>386</v>
      </c>
      <c r="C54" s="521"/>
      <c r="D54" s="521"/>
      <c r="E54" s="521">
        <f t="shared" si="15"/>
        <v>7.910500000000001</v>
      </c>
      <c r="F54" s="544">
        <v>2.1</v>
      </c>
      <c r="G54" s="521">
        <f t="shared" si="21"/>
        <v>5.2700000000000005</v>
      </c>
      <c r="H54" s="524">
        <v>0.7</v>
      </c>
      <c r="I54" s="545">
        <v>0.2</v>
      </c>
      <c r="J54" s="521"/>
      <c r="K54" s="524">
        <f aca="true" t="shared" si="24" ref="K54:K64">(F54+I54+J54)*0.5</f>
        <v>1.1500000000000001</v>
      </c>
      <c r="L54" s="524">
        <f t="shared" si="20"/>
        <v>1.61</v>
      </c>
      <c r="M54" s="524"/>
      <c r="N54" s="524">
        <f t="shared" si="17"/>
        <v>1.61</v>
      </c>
      <c r="O54" s="521"/>
      <c r="P54" s="521"/>
      <c r="Q54" s="545"/>
      <c r="R54" s="521"/>
      <c r="S54" s="521"/>
      <c r="T54" s="521"/>
      <c r="U54" s="545"/>
      <c r="V54" s="545"/>
      <c r="W54" s="521"/>
      <c r="X54" s="524">
        <f t="shared" si="22"/>
        <v>0.5405</v>
      </c>
      <c r="Y54" s="528">
        <f t="shared" si="23"/>
        <v>141439740.00000003</v>
      </c>
      <c r="Z54" s="529"/>
      <c r="AA54" s="530"/>
      <c r="AB54" s="530"/>
      <c r="AC54" s="530"/>
      <c r="AD54" s="530"/>
    </row>
    <row r="55" spans="1:30" ht="15">
      <c r="A55" s="519">
        <v>13</v>
      </c>
      <c r="B55" s="541" t="s">
        <v>387</v>
      </c>
      <c r="C55" s="521"/>
      <c r="D55" s="521"/>
      <c r="E55" s="521">
        <f t="shared" si="15"/>
        <v>8.594386</v>
      </c>
      <c r="F55" s="544">
        <v>2.46</v>
      </c>
      <c r="G55" s="521">
        <f t="shared" si="21"/>
        <v>5.5216</v>
      </c>
      <c r="H55" s="524">
        <v>0.7</v>
      </c>
      <c r="I55" s="545"/>
      <c r="J55" s="521"/>
      <c r="K55" s="524">
        <f t="shared" si="24"/>
        <v>1.23</v>
      </c>
      <c r="L55" s="524">
        <f t="shared" si="20"/>
        <v>1.722</v>
      </c>
      <c r="M55" s="524">
        <f>(F55+I55)*0.06</f>
        <v>0.14759999999999998</v>
      </c>
      <c r="N55" s="524">
        <f t="shared" si="17"/>
        <v>1.722</v>
      </c>
      <c r="O55" s="521"/>
      <c r="P55" s="521"/>
      <c r="Q55" s="545"/>
      <c r="R55" s="521"/>
      <c r="S55" s="521"/>
      <c r="T55" s="521"/>
      <c r="U55" s="545"/>
      <c r="V55" s="545"/>
      <c r="W55" s="521"/>
      <c r="X55" s="524">
        <f t="shared" si="22"/>
        <v>0.612786</v>
      </c>
      <c r="Y55" s="528">
        <f t="shared" si="23"/>
        <v>153667621.68</v>
      </c>
      <c r="Z55" s="529"/>
      <c r="AA55" s="530"/>
      <c r="AB55" s="530"/>
      <c r="AC55" s="530"/>
      <c r="AD55" s="530"/>
    </row>
    <row r="56" spans="1:30" ht="15">
      <c r="A56" s="519">
        <v>14</v>
      </c>
      <c r="B56" s="541" t="s">
        <v>388</v>
      </c>
      <c r="C56" s="521"/>
      <c r="D56" s="521"/>
      <c r="E56" s="521">
        <f t="shared" si="15"/>
        <v>7.283499999999999</v>
      </c>
      <c r="F56" s="544">
        <v>2.1</v>
      </c>
      <c r="G56" s="521">
        <f t="shared" si="21"/>
        <v>4.6899999999999995</v>
      </c>
      <c r="H56" s="524">
        <v>0.7</v>
      </c>
      <c r="I56" s="545"/>
      <c r="J56" s="521"/>
      <c r="K56" s="524">
        <f t="shared" si="24"/>
        <v>1.05</v>
      </c>
      <c r="L56" s="524">
        <f t="shared" si="20"/>
        <v>1.47</v>
      </c>
      <c r="M56" s="524"/>
      <c r="N56" s="524">
        <f t="shared" si="17"/>
        <v>1.47</v>
      </c>
      <c r="O56" s="521"/>
      <c r="P56" s="521"/>
      <c r="Q56" s="545"/>
      <c r="R56" s="521"/>
      <c r="S56" s="521"/>
      <c r="T56" s="521"/>
      <c r="U56" s="545"/>
      <c r="V56" s="545"/>
      <c r="W56" s="521"/>
      <c r="X56" s="524">
        <f t="shared" si="22"/>
        <v>0.4935</v>
      </c>
      <c r="Y56" s="528">
        <f t="shared" si="23"/>
        <v>130228979.99999997</v>
      </c>
      <c r="Z56" s="529"/>
      <c r="AA56" s="530"/>
      <c r="AB56" s="530"/>
      <c r="AC56" s="530"/>
      <c r="AD56" s="530"/>
    </row>
    <row r="57" spans="1:30" ht="15">
      <c r="A57" s="519">
        <v>15</v>
      </c>
      <c r="B57" s="541" t="s">
        <v>389</v>
      </c>
      <c r="C57" s="521"/>
      <c r="D57" s="521"/>
      <c r="E57" s="521">
        <f t="shared" si="15"/>
        <v>7.158099999999999</v>
      </c>
      <c r="F57" s="544">
        <v>2.06</v>
      </c>
      <c r="G57" s="546">
        <f t="shared" si="21"/>
        <v>4.614</v>
      </c>
      <c r="H57" s="524">
        <v>0.7</v>
      </c>
      <c r="I57" s="545"/>
      <c r="J57" s="521"/>
      <c r="K57" s="524">
        <f t="shared" si="24"/>
        <v>1.03</v>
      </c>
      <c r="L57" s="524">
        <f t="shared" si="20"/>
        <v>1.442</v>
      </c>
      <c r="M57" s="524"/>
      <c r="N57" s="524">
        <f t="shared" si="17"/>
        <v>1.442</v>
      </c>
      <c r="O57" s="521"/>
      <c r="P57" s="521"/>
      <c r="Q57" s="545"/>
      <c r="R57" s="521"/>
      <c r="S57" s="521"/>
      <c r="T57" s="521"/>
      <c r="U57" s="545"/>
      <c r="V57" s="545"/>
      <c r="W57" s="521"/>
      <c r="X57" s="524">
        <f t="shared" si="22"/>
        <v>0.4841</v>
      </c>
      <c r="Y57" s="528">
        <f t="shared" si="23"/>
        <v>127986827.99999997</v>
      </c>
      <c r="Z57" s="529"/>
      <c r="AA57" s="530"/>
      <c r="AB57" s="530"/>
      <c r="AC57" s="530"/>
      <c r="AD57" s="530"/>
    </row>
    <row r="58" spans="1:30" ht="15">
      <c r="A58" s="519">
        <v>16</v>
      </c>
      <c r="B58" s="541" t="s">
        <v>390</v>
      </c>
      <c r="C58" s="521"/>
      <c r="D58" s="521"/>
      <c r="E58" s="521">
        <f t="shared" si="15"/>
        <v>7.283499999999999</v>
      </c>
      <c r="F58" s="544">
        <v>2.1</v>
      </c>
      <c r="G58" s="521">
        <f t="shared" si="21"/>
        <v>4.6899999999999995</v>
      </c>
      <c r="H58" s="524">
        <v>0.7</v>
      </c>
      <c r="I58" s="545"/>
      <c r="J58" s="521"/>
      <c r="K58" s="524">
        <f t="shared" si="24"/>
        <v>1.05</v>
      </c>
      <c r="L58" s="524">
        <f t="shared" si="20"/>
        <v>1.47</v>
      </c>
      <c r="M58" s="524"/>
      <c r="N58" s="524">
        <f t="shared" si="17"/>
        <v>1.47</v>
      </c>
      <c r="O58" s="521"/>
      <c r="P58" s="521"/>
      <c r="Q58" s="545"/>
      <c r="R58" s="521"/>
      <c r="S58" s="521"/>
      <c r="T58" s="521"/>
      <c r="U58" s="545"/>
      <c r="V58" s="545"/>
      <c r="W58" s="521"/>
      <c r="X58" s="524">
        <f t="shared" si="22"/>
        <v>0.4935</v>
      </c>
      <c r="Y58" s="528">
        <f t="shared" si="23"/>
        <v>130228979.99999997</v>
      </c>
      <c r="Z58" s="529"/>
      <c r="AA58" s="530"/>
      <c r="AB58" s="530"/>
      <c r="AC58" s="530"/>
      <c r="AD58" s="530"/>
    </row>
    <row r="59" spans="1:30" ht="15">
      <c r="A59" s="519">
        <v>17</v>
      </c>
      <c r="B59" s="541" t="s">
        <v>391</v>
      </c>
      <c r="C59" s="521"/>
      <c r="D59" s="521"/>
      <c r="E59" s="521">
        <f t="shared" si="15"/>
        <v>7.158099999999999</v>
      </c>
      <c r="F59" s="544">
        <v>2.06</v>
      </c>
      <c r="G59" s="521">
        <f t="shared" si="21"/>
        <v>4.614</v>
      </c>
      <c r="H59" s="524">
        <v>0.7</v>
      </c>
      <c r="I59" s="545"/>
      <c r="J59" s="521"/>
      <c r="K59" s="524">
        <f t="shared" si="24"/>
        <v>1.03</v>
      </c>
      <c r="L59" s="524">
        <f t="shared" si="20"/>
        <v>1.442</v>
      </c>
      <c r="M59" s="524"/>
      <c r="N59" s="524">
        <f t="shared" si="17"/>
        <v>1.442</v>
      </c>
      <c r="O59" s="521"/>
      <c r="P59" s="521"/>
      <c r="Q59" s="545"/>
      <c r="R59" s="521"/>
      <c r="S59" s="521"/>
      <c r="T59" s="521"/>
      <c r="U59" s="545"/>
      <c r="V59" s="545"/>
      <c r="W59" s="521"/>
      <c r="X59" s="524">
        <f t="shared" si="22"/>
        <v>0.4841</v>
      </c>
      <c r="Y59" s="528">
        <f t="shared" si="23"/>
        <v>127986827.99999997</v>
      </c>
      <c r="Z59" s="529"/>
      <c r="AA59" s="530"/>
      <c r="AB59" s="530"/>
      <c r="AC59" s="530"/>
      <c r="AD59" s="530"/>
    </row>
    <row r="60" spans="1:30" ht="15">
      <c r="A60" s="519">
        <v>18</v>
      </c>
      <c r="B60" s="541" t="s">
        <v>392</v>
      </c>
      <c r="C60" s="521"/>
      <c r="D60" s="521"/>
      <c r="E60" s="521">
        <f t="shared" si="15"/>
        <v>7.283499999999999</v>
      </c>
      <c r="F60" s="544">
        <v>2.1</v>
      </c>
      <c r="G60" s="521">
        <f t="shared" si="21"/>
        <v>4.6899999999999995</v>
      </c>
      <c r="H60" s="524">
        <v>0.7</v>
      </c>
      <c r="I60" s="545"/>
      <c r="J60" s="521"/>
      <c r="K60" s="524">
        <f t="shared" si="24"/>
        <v>1.05</v>
      </c>
      <c r="L60" s="524">
        <f t="shared" si="20"/>
        <v>1.47</v>
      </c>
      <c r="M60" s="524"/>
      <c r="N60" s="524">
        <f t="shared" si="17"/>
        <v>1.47</v>
      </c>
      <c r="O60" s="521"/>
      <c r="P60" s="521"/>
      <c r="Q60" s="545"/>
      <c r="R60" s="521"/>
      <c r="S60" s="521"/>
      <c r="T60" s="521"/>
      <c r="U60" s="545"/>
      <c r="V60" s="545"/>
      <c r="W60" s="521"/>
      <c r="X60" s="524">
        <f t="shared" si="22"/>
        <v>0.4935</v>
      </c>
      <c r="Y60" s="528">
        <f t="shared" si="23"/>
        <v>130228979.99999997</v>
      </c>
      <c r="Z60" s="529"/>
      <c r="AA60" s="530"/>
      <c r="AB60" s="530"/>
      <c r="AC60" s="530"/>
      <c r="AD60" s="530"/>
    </row>
    <row r="61" spans="1:30" ht="15">
      <c r="A61" s="519">
        <v>19</v>
      </c>
      <c r="B61" s="541" t="s">
        <v>393</v>
      </c>
      <c r="C61" s="521"/>
      <c r="D61" s="521"/>
      <c r="E61" s="521">
        <f t="shared" si="15"/>
        <v>7.1581</v>
      </c>
      <c r="F61" s="544">
        <v>1.86</v>
      </c>
      <c r="G61" s="521">
        <f t="shared" si="21"/>
        <v>4.814</v>
      </c>
      <c r="H61" s="524">
        <v>0.7</v>
      </c>
      <c r="I61" s="545">
        <v>0.2</v>
      </c>
      <c r="J61" s="521"/>
      <c r="K61" s="524">
        <f t="shared" si="24"/>
        <v>1.03</v>
      </c>
      <c r="L61" s="524">
        <f t="shared" si="20"/>
        <v>1.442</v>
      </c>
      <c r="M61" s="524"/>
      <c r="N61" s="524">
        <f t="shared" si="17"/>
        <v>1.442</v>
      </c>
      <c r="O61" s="521"/>
      <c r="P61" s="521"/>
      <c r="Q61" s="545"/>
      <c r="R61" s="521"/>
      <c r="S61" s="521"/>
      <c r="T61" s="521"/>
      <c r="U61" s="545"/>
      <c r="V61" s="545"/>
      <c r="W61" s="521"/>
      <c r="X61" s="524">
        <f t="shared" si="22"/>
        <v>0.4841</v>
      </c>
      <c r="Y61" s="528">
        <f t="shared" si="23"/>
        <v>127986828</v>
      </c>
      <c r="Z61" s="529"/>
      <c r="AA61" s="530"/>
      <c r="AB61" s="530"/>
      <c r="AC61" s="530"/>
      <c r="AD61" s="530"/>
    </row>
    <row r="62" spans="1:30" ht="15">
      <c r="A62" s="519">
        <v>20</v>
      </c>
      <c r="B62" s="541" t="s">
        <v>394</v>
      </c>
      <c r="C62" s="521"/>
      <c r="D62" s="521"/>
      <c r="E62" s="521">
        <f t="shared" si="15"/>
        <v>6.5311</v>
      </c>
      <c r="F62" s="544">
        <v>1.86</v>
      </c>
      <c r="G62" s="521">
        <f t="shared" si="21"/>
        <v>4.234</v>
      </c>
      <c r="H62" s="524">
        <v>0.7</v>
      </c>
      <c r="I62" s="545"/>
      <c r="J62" s="521"/>
      <c r="K62" s="524">
        <f t="shared" si="24"/>
        <v>0.93</v>
      </c>
      <c r="L62" s="524">
        <f t="shared" si="20"/>
        <v>1.302</v>
      </c>
      <c r="M62" s="524"/>
      <c r="N62" s="524">
        <f t="shared" si="17"/>
        <v>1.302</v>
      </c>
      <c r="O62" s="521"/>
      <c r="P62" s="521"/>
      <c r="Q62" s="545"/>
      <c r="R62" s="521"/>
      <c r="S62" s="521"/>
      <c r="T62" s="521"/>
      <c r="U62" s="545"/>
      <c r="V62" s="545"/>
      <c r="W62" s="521"/>
      <c r="X62" s="524">
        <f t="shared" si="22"/>
        <v>0.4371</v>
      </c>
      <c r="Y62" s="528">
        <f t="shared" si="23"/>
        <v>116776068</v>
      </c>
      <c r="Z62" s="529"/>
      <c r="AA62" s="530"/>
      <c r="AB62" s="530"/>
      <c r="AC62" s="530"/>
      <c r="AD62" s="530"/>
    </row>
    <row r="63" spans="1:30" ht="15">
      <c r="A63" s="505"/>
      <c r="B63" s="550"/>
      <c r="C63" s="512"/>
      <c r="D63" s="512"/>
      <c r="E63" s="512">
        <f>F63+G63+X63</f>
        <v>0</v>
      </c>
      <c r="F63" s="551"/>
      <c r="G63" s="512">
        <f t="shared" si="21"/>
        <v>0</v>
      </c>
      <c r="H63" s="515"/>
      <c r="I63" s="552"/>
      <c r="J63" s="512"/>
      <c r="K63" s="515">
        <f t="shared" si="24"/>
        <v>0</v>
      </c>
      <c r="L63" s="515">
        <f>0.7*F63</f>
        <v>0</v>
      </c>
      <c r="M63" s="552"/>
      <c r="N63" s="515"/>
      <c r="O63" s="512"/>
      <c r="P63" s="512"/>
      <c r="Q63" s="552"/>
      <c r="R63" s="512"/>
      <c r="S63" s="512"/>
      <c r="T63" s="512"/>
      <c r="U63" s="552"/>
      <c r="V63" s="552"/>
      <c r="W63" s="512"/>
      <c r="X63" s="515">
        <f t="shared" si="18"/>
        <v>0</v>
      </c>
      <c r="Y63" s="2">
        <f t="shared" si="23"/>
        <v>0</v>
      </c>
      <c r="Z63" s="496"/>
      <c r="AA63" s="22"/>
      <c r="AB63" s="22"/>
      <c r="AC63" s="22"/>
      <c r="AD63" s="22"/>
    </row>
    <row r="64" spans="1:30" ht="15">
      <c r="A64" s="505"/>
      <c r="B64" s="550"/>
      <c r="C64" s="512"/>
      <c r="D64" s="512"/>
      <c r="E64" s="512">
        <f>F64+G64+X64</f>
        <v>0</v>
      </c>
      <c r="F64" s="551"/>
      <c r="G64" s="512">
        <f t="shared" si="21"/>
        <v>0</v>
      </c>
      <c r="H64" s="515"/>
      <c r="I64" s="552"/>
      <c r="J64" s="512"/>
      <c r="K64" s="515">
        <f t="shared" si="24"/>
        <v>0</v>
      </c>
      <c r="L64" s="515">
        <f>0.7*F64</f>
        <v>0</v>
      </c>
      <c r="M64" s="515"/>
      <c r="N64" s="515">
        <f>(F64+I64)*0.7</f>
        <v>0</v>
      </c>
      <c r="O64" s="512"/>
      <c r="P64" s="512"/>
      <c r="Q64" s="552"/>
      <c r="R64" s="512"/>
      <c r="S64" s="512"/>
      <c r="T64" s="512"/>
      <c r="U64" s="552"/>
      <c r="V64" s="552"/>
      <c r="W64" s="512"/>
      <c r="X64" s="515">
        <f t="shared" si="18"/>
        <v>0</v>
      </c>
      <c r="Y64" s="2">
        <f t="shared" si="23"/>
        <v>0</v>
      </c>
      <c r="Z64" s="496"/>
      <c r="AA64" s="22"/>
      <c r="AB64" s="22"/>
      <c r="AC64" s="22"/>
      <c r="AD64" s="22"/>
    </row>
    <row r="65" spans="1:30" ht="15">
      <c r="A65" s="504" t="s">
        <v>395</v>
      </c>
      <c r="B65" s="543" t="s">
        <v>396</v>
      </c>
      <c r="C65" s="501">
        <f>+C66</f>
        <v>17</v>
      </c>
      <c r="D65" s="501">
        <f>+D66</f>
        <v>17</v>
      </c>
      <c r="E65" s="501">
        <f aca="true" t="shared" si="25" ref="E65:U65">E66+E84</f>
        <v>143.897918</v>
      </c>
      <c r="F65" s="510">
        <f t="shared" si="25"/>
        <v>41.55000000000001</v>
      </c>
      <c r="G65" s="501">
        <f t="shared" si="25"/>
        <v>92.16879999999999</v>
      </c>
      <c r="H65" s="501">
        <f t="shared" si="25"/>
        <v>11.899999999999997</v>
      </c>
      <c r="I65" s="501">
        <f t="shared" si="25"/>
        <v>1.5999999999999999</v>
      </c>
      <c r="J65" s="501">
        <f t="shared" si="25"/>
        <v>0</v>
      </c>
      <c r="K65" s="501">
        <f t="shared" si="25"/>
        <v>21.575000000000003</v>
      </c>
      <c r="L65" s="501">
        <f t="shared" si="25"/>
        <v>23.247</v>
      </c>
      <c r="M65" s="501">
        <f t="shared" si="25"/>
        <v>1.9418000000000002</v>
      </c>
      <c r="N65" s="501">
        <f t="shared" si="25"/>
        <v>30.204999999999995</v>
      </c>
      <c r="O65" s="501">
        <f t="shared" si="25"/>
        <v>0</v>
      </c>
      <c r="P65" s="501">
        <f t="shared" si="25"/>
        <v>0</v>
      </c>
      <c r="Q65" s="501">
        <f t="shared" si="25"/>
        <v>1.7</v>
      </c>
      <c r="R65" s="501">
        <f t="shared" si="25"/>
        <v>0</v>
      </c>
      <c r="S65" s="501">
        <f t="shared" si="25"/>
        <v>0</v>
      </c>
      <c r="T65" s="501">
        <f t="shared" si="25"/>
        <v>0</v>
      </c>
      <c r="U65" s="501">
        <f t="shared" si="25"/>
        <v>0</v>
      </c>
      <c r="V65" s="501"/>
      <c r="W65" s="501">
        <f>W66+W84</f>
        <v>0</v>
      </c>
      <c r="X65" s="501">
        <f>X66+X84</f>
        <v>10.179118</v>
      </c>
      <c r="Y65" s="502">
        <f>Y66+Y84</f>
        <v>2572895000</v>
      </c>
      <c r="Z65" s="503"/>
      <c r="AA65" s="17"/>
      <c r="AB65" s="17"/>
      <c r="AC65" s="17"/>
      <c r="AD65" s="17"/>
    </row>
    <row r="66" spans="1:30" ht="15">
      <c r="A66" s="504"/>
      <c r="B66" s="553" t="s">
        <v>75</v>
      </c>
      <c r="C66" s="501">
        <v>17</v>
      </c>
      <c r="D66" s="501">
        <v>17</v>
      </c>
      <c r="E66" s="501">
        <f>SUM(E67:E84)</f>
        <v>143.897918</v>
      </c>
      <c r="F66" s="501">
        <f aca="true" t="shared" si="26" ref="F66:X66">SUM(F67:F84)</f>
        <v>41.55000000000001</v>
      </c>
      <c r="G66" s="501">
        <f t="shared" si="26"/>
        <v>92.16879999999999</v>
      </c>
      <c r="H66" s="501">
        <f t="shared" si="26"/>
        <v>11.899999999999997</v>
      </c>
      <c r="I66" s="501">
        <f t="shared" si="26"/>
        <v>1.5999999999999999</v>
      </c>
      <c r="J66" s="501">
        <f t="shared" si="26"/>
        <v>0</v>
      </c>
      <c r="K66" s="501">
        <f t="shared" si="26"/>
        <v>21.575000000000003</v>
      </c>
      <c r="L66" s="501">
        <f t="shared" si="26"/>
        <v>23.247</v>
      </c>
      <c r="M66" s="501">
        <f t="shared" si="26"/>
        <v>1.9418000000000002</v>
      </c>
      <c r="N66" s="501">
        <f t="shared" si="26"/>
        <v>30.204999999999995</v>
      </c>
      <c r="O66" s="501">
        <f t="shared" si="26"/>
        <v>0</v>
      </c>
      <c r="P66" s="501">
        <f t="shared" si="26"/>
        <v>0</v>
      </c>
      <c r="Q66" s="501">
        <f t="shared" si="26"/>
        <v>1.7</v>
      </c>
      <c r="R66" s="501">
        <f t="shared" si="26"/>
        <v>0</v>
      </c>
      <c r="S66" s="501">
        <f t="shared" si="26"/>
        <v>0</v>
      </c>
      <c r="T66" s="501">
        <f t="shared" si="26"/>
        <v>0</v>
      </c>
      <c r="U66" s="501">
        <f t="shared" si="26"/>
        <v>0</v>
      </c>
      <c r="V66" s="501">
        <f t="shared" si="26"/>
        <v>0</v>
      </c>
      <c r="W66" s="501">
        <f t="shared" si="26"/>
        <v>0</v>
      </c>
      <c r="X66" s="501">
        <f t="shared" si="26"/>
        <v>10.179118</v>
      </c>
      <c r="Y66" s="503">
        <f>ROUNDUP(SUM(Y67:Y84),-3)</f>
        <v>2572895000</v>
      </c>
      <c r="Z66" s="503"/>
      <c r="AA66" s="17"/>
      <c r="AB66" s="17"/>
      <c r="AC66" s="17"/>
      <c r="AD66" s="17"/>
    </row>
    <row r="67" spans="1:30" ht="15">
      <c r="A67" s="519">
        <v>1</v>
      </c>
      <c r="B67" s="531" t="s">
        <v>397</v>
      </c>
      <c r="C67" s="521"/>
      <c r="D67" s="521"/>
      <c r="E67" s="521">
        <f>F67+G67+X67</f>
        <v>12.633012500000001</v>
      </c>
      <c r="F67" s="554">
        <v>3.65</v>
      </c>
      <c r="G67" s="521">
        <f aca="true" t="shared" si="27" ref="G67:G81">SUM(H67:W67)</f>
        <v>7.834500000000001</v>
      </c>
      <c r="H67" s="534">
        <v>0.7</v>
      </c>
      <c r="I67" s="535">
        <v>0.5</v>
      </c>
      <c r="J67" s="521"/>
      <c r="K67" s="534">
        <f>(F67+I67)*50%</f>
        <v>2.075</v>
      </c>
      <c r="L67" s="534"/>
      <c r="M67" s="536">
        <f>(F67+I67)*0.23</f>
        <v>0.9545000000000001</v>
      </c>
      <c r="N67" s="534">
        <f>(F67+I67)*70%</f>
        <v>2.9050000000000002</v>
      </c>
      <c r="O67" s="521"/>
      <c r="P67" s="521"/>
      <c r="Q67" s="537">
        <v>0.7</v>
      </c>
      <c r="R67" s="521"/>
      <c r="S67" s="538"/>
      <c r="T67" s="521"/>
      <c r="U67" s="539"/>
      <c r="V67" s="539"/>
      <c r="W67" s="521"/>
      <c r="X67" s="524">
        <f>(F67+I67+M67+U67)*0.225</f>
        <v>1.1485125000000003</v>
      </c>
      <c r="Y67" s="528">
        <f aca="true" t="shared" si="28" ref="Y67:Y81">E67*1490000*12</f>
        <v>225878263.50000006</v>
      </c>
      <c r="Z67" s="529"/>
      <c r="AA67" s="530"/>
      <c r="AB67" s="530"/>
      <c r="AC67" s="530"/>
      <c r="AD67" s="530"/>
    </row>
    <row r="68" spans="1:30" ht="15">
      <c r="A68" s="519">
        <v>2</v>
      </c>
      <c r="B68" s="520" t="s">
        <v>398</v>
      </c>
      <c r="C68" s="521"/>
      <c r="D68" s="521"/>
      <c r="E68" s="521">
        <f aca="true" t="shared" si="29" ref="E68:E83">F68+G68+X68</f>
        <v>9.0166805</v>
      </c>
      <c r="F68" s="522">
        <v>2.72</v>
      </c>
      <c r="G68" s="521">
        <f t="shared" si="27"/>
        <v>5.5103</v>
      </c>
      <c r="H68" s="523">
        <v>0.7</v>
      </c>
      <c r="I68" s="524">
        <v>0.35</v>
      </c>
      <c r="J68" s="521"/>
      <c r="K68" s="525">
        <f>(F68+I68+J68)*50%</f>
        <v>1.5350000000000001</v>
      </c>
      <c r="L68" s="524"/>
      <c r="M68" s="526">
        <f>(F68+I68+J68)*0.09</f>
        <v>0.2763</v>
      </c>
      <c r="N68" s="524">
        <f>(F68+I68)*0.7</f>
        <v>2.149</v>
      </c>
      <c r="O68" s="521"/>
      <c r="P68" s="521"/>
      <c r="Q68" s="524">
        <v>0.5</v>
      </c>
      <c r="R68" s="521"/>
      <c r="S68" s="521"/>
      <c r="T68" s="521"/>
      <c r="U68" s="527"/>
      <c r="V68" s="527"/>
      <c r="W68" s="521"/>
      <c r="X68" s="524">
        <f>(F68+I68+M68+U68)*23.5%</f>
        <v>0.7863805</v>
      </c>
      <c r="Y68" s="528">
        <f t="shared" si="28"/>
        <v>161218247.34</v>
      </c>
      <c r="Z68" s="529"/>
      <c r="AA68" s="530"/>
      <c r="AB68" s="530"/>
      <c r="AC68" s="530"/>
      <c r="AD68" s="530"/>
    </row>
    <row r="69" spans="1:30" ht="15">
      <c r="A69" s="519">
        <v>3</v>
      </c>
      <c r="B69" s="531" t="s">
        <v>399</v>
      </c>
      <c r="C69" s="521"/>
      <c r="D69" s="521"/>
      <c r="E69" s="521">
        <f t="shared" si="29"/>
        <v>8.06256</v>
      </c>
      <c r="F69" s="555">
        <v>2.72</v>
      </c>
      <c r="G69" s="521">
        <f t="shared" si="27"/>
        <v>4.6815999999999995</v>
      </c>
      <c r="H69" s="534">
        <v>0.7</v>
      </c>
      <c r="I69" s="534"/>
      <c r="J69" s="521"/>
      <c r="K69" s="534">
        <f aca="true" t="shared" si="30" ref="K69:K81">(F69+I69)*50%</f>
        <v>1.36</v>
      </c>
      <c r="L69" s="534"/>
      <c r="M69" s="536">
        <f>(F69+I69)*0.08</f>
        <v>0.21760000000000002</v>
      </c>
      <c r="N69" s="534">
        <f aca="true" t="shared" si="31" ref="N69:N81">(F69+I69)*70%</f>
        <v>1.904</v>
      </c>
      <c r="O69" s="521"/>
      <c r="P69" s="521"/>
      <c r="Q69" s="556">
        <v>0.5</v>
      </c>
      <c r="R69" s="521"/>
      <c r="S69" s="538"/>
      <c r="T69" s="521"/>
      <c r="U69" s="539"/>
      <c r="V69" s="539"/>
      <c r="W69" s="521"/>
      <c r="X69" s="524">
        <f aca="true" t="shared" si="32" ref="X69:X82">(F69+I69+M69+U69)*0.225</f>
        <v>0.6609600000000001</v>
      </c>
      <c r="Y69" s="528">
        <f t="shared" si="28"/>
        <v>144158572.79999998</v>
      </c>
      <c r="Z69" s="529"/>
      <c r="AA69" s="530"/>
      <c r="AB69" s="530"/>
      <c r="AC69" s="530"/>
      <c r="AD69" s="530"/>
    </row>
    <row r="70" spans="1:30" ht="15">
      <c r="A70" s="519">
        <v>4</v>
      </c>
      <c r="B70" s="531" t="s">
        <v>400</v>
      </c>
      <c r="C70" s="521"/>
      <c r="D70" s="521"/>
      <c r="E70" s="521">
        <f t="shared" si="29"/>
        <v>10.00385</v>
      </c>
      <c r="F70" s="555">
        <v>2.72</v>
      </c>
      <c r="G70" s="521">
        <f t="shared" si="27"/>
        <v>6.593999999999999</v>
      </c>
      <c r="H70" s="534">
        <v>0.7</v>
      </c>
      <c r="I70" s="534">
        <v>0.2</v>
      </c>
      <c r="J70" s="521"/>
      <c r="K70" s="534">
        <f t="shared" si="30"/>
        <v>1.4600000000000002</v>
      </c>
      <c r="L70" s="534">
        <f aca="true" t="shared" si="33" ref="L70:L82">(F70+I70)*70%</f>
        <v>2.044</v>
      </c>
      <c r="M70" s="536">
        <f>(F70+I70)*0.05</f>
        <v>0.14600000000000002</v>
      </c>
      <c r="N70" s="534">
        <f t="shared" si="31"/>
        <v>2.044</v>
      </c>
      <c r="O70" s="521"/>
      <c r="P70" s="521"/>
      <c r="Q70" s="556"/>
      <c r="R70" s="521"/>
      <c r="S70" s="538"/>
      <c r="T70" s="521"/>
      <c r="U70" s="539"/>
      <c r="V70" s="539"/>
      <c r="W70" s="521"/>
      <c r="X70" s="524">
        <f>(F70+I70+M70+U70)*0.225</f>
        <v>0.6898500000000001</v>
      </c>
      <c r="Y70" s="528">
        <f t="shared" si="28"/>
        <v>178868838</v>
      </c>
      <c r="Z70" s="529"/>
      <c r="AA70" s="530"/>
      <c r="AB70" s="530"/>
      <c r="AC70" s="530"/>
      <c r="AD70" s="530"/>
    </row>
    <row r="71" spans="1:30" ht="15">
      <c r="A71" s="519">
        <v>5</v>
      </c>
      <c r="B71" s="531" t="s">
        <v>401</v>
      </c>
      <c r="C71" s="521"/>
      <c r="D71" s="521"/>
      <c r="E71" s="521">
        <f t="shared" si="29"/>
        <v>8.23125</v>
      </c>
      <c r="F71" s="555">
        <v>2.41</v>
      </c>
      <c r="G71" s="521">
        <f t="shared" si="27"/>
        <v>5.279</v>
      </c>
      <c r="H71" s="534">
        <v>0.7</v>
      </c>
      <c r="I71" s="534"/>
      <c r="J71" s="521"/>
      <c r="K71" s="534">
        <f t="shared" si="30"/>
        <v>1.205</v>
      </c>
      <c r="L71" s="534">
        <f>(F71+I71)*70%</f>
        <v>1.687</v>
      </c>
      <c r="M71" s="536"/>
      <c r="N71" s="534">
        <f t="shared" si="31"/>
        <v>1.687</v>
      </c>
      <c r="O71" s="521"/>
      <c r="P71" s="521"/>
      <c r="Q71" s="556"/>
      <c r="R71" s="521"/>
      <c r="S71" s="538"/>
      <c r="T71" s="521"/>
      <c r="U71" s="539"/>
      <c r="V71" s="539"/>
      <c r="W71" s="521"/>
      <c r="X71" s="524">
        <f>(F71+I71+M71+U71)*0.225</f>
        <v>0.54225</v>
      </c>
      <c r="Y71" s="528">
        <f t="shared" si="28"/>
        <v>147174749.99999997</v>
      </c>
      <c r="Z71" s="529"/>
      <c r="AA71" s="530"/>
      <c r="AB71" s="530"/>
      <c r="AC71" s="530"/>
      <c r="AD71" s="530"/>
    </row>
    <row r="72" spans="1:30" ht="15">
      <c r="A72" s="519">
        <v>6</v>
      </c>
      <c r="B72" s="531" t="s">
        <v>402</v>
      </c>
      <c r="C72" s="521"/>
      <c r="D72" s="521"/>
      <c r="E72" s="521">
        <f t="shared" si="29"/>
        <v>8.23125</v>
      </c>
      <c r="F72" s="557">
        <v>2.41</v>
      </c>
      <c r="G72" s="521">
        <f t="shared" si="27"/>
        <v>5.279</v>
      </c>
      <c r="H72" s="534">
        <v>0.7</v>
      </c>
      <c r="I72" s="534"/>
      <c r="J72" s="521"/>
      <c r="K72" s="534">
        <f t="shared" si="30"/>
        <v>1.205</v>
      </c>
      <c r="L72" s="534">
        <f t="shared" si="33"/>
        <v>1.687</v>
      </c>
      <c r="M72" s="536"/>
      <c r="N72" s="534">
        <f t="shared" si="31"/>
        <v>1.687</v>
      </c>
      <c r="O72" s="521"/>
      <c r="P72" s="521"/>
      <c r="Q72" s="558"/>
      <c r="R72" s="521"/>
      <c r="S72" s="538"/>
      <c r="T72" s="521"/>
      <c r="U72" s="539"/>
      <c r="V72" s="539"/>
      <c r="W72" s="521"/>
      <c r="X72" s="524">
        <f t="shared" si="32"/>
        <v>0.54225</v>
      </c>
      <c r="Y72" s="528">
        <f t="shared" si="28"/>
        <v>147174749.99999997</v>
      </c>
      <c r="Z72" s="529"/>
      <c r="AA72" s="530"/>
      <c r="AB72" s="530"/>
      <c r="AC72" s="530"/>
      <c r="AD72" s="530"/>
    </row>
    <row r="73" spans="1:30" ht="15">
      <c r="A73" s="519">
        <v>7</v>
      </c>
      <c r="B73" s="531" t="s">
        <v>403</v>
      </c>
      <c r="C73" s="521"/>
      <c r="D73" s="521"/>
      <c r="E73" s="521">
        <f t="shared" si="29"/>
        <v>9.399920000000002</v>
      </c>
      <c r="F73" s="557">
        <v>2.72</v>
      </c>
      <c r="G73" s="521">
        <f t="shared" si="27"/>
        <v>6.0312</v>
      </c>
      <c r="H73" s="534">
        <v>0.7</v>
      </c>
      <c r="I73" s="534"/>
      <c r="J73" s="521"/>
      <c r="K73" s="534">
        <f t="shared" si="30"/>
        <v>1.36</v>
      </c>
      <c r="L73" s="534">
        <f t="shared" si="33"/>
        <v>1.904</v>
      </c>
      <c r="M73" s="536">
        <f>(F73+I73)*0.06</f>
        <v>0.1632</v>
      </c>
      <c r="N73" s="534">
        <f t="shared" si="31"/>
        <v>1.904</v>
      </c>
      <c r="O73" s="521"/>
      <c r="P73" s="521"/>
      <c r="Q73" s="534"/>
      <c r="R73" s="521"/>
      <c r="S73" s="538"/>
      <c r="T73" s="521"/>
      <c r="U73" s="539"/>
      <c r="V73" s="539"/>
      <c r="W73" s="521"/>
      <c r="X73" s="524">
        <f t="shared" si="32"/>
        <v>0.6487200000000001</v>
      </c>
      <c r="Y73" s="528">
        <f t="shared" si="28"/>
        <v>168070569.60000002</v>
      </c>
      <c r="Z73" s="529"/>
      <c r="AA73" s="530"/>
      <c r="AB73" s="530"/>
      <c r="AC73" s="530"/>
      <c r="AD73" s="530"/>
    </row>
    <row r="74" spans="1:30" ht="15">
      <c r="A74" s="519">
        <v>8</v>
      </c>
      <c r="B74" s="531" t="s">
        <v>404</v>
      </c>
      <c r="C74" s="521"/>
      <c r="D74" s="521"/>
      <c r="E74" s="521">
        <f t="shared" si="29"/>
        <v>10.519395000000001</v>
      </c>
      <c r="F74" s="557">
        <v>2.72</v>
      </c>
      <c r="G74" s="521">
        <f t="shared" si="27"/>
        <v>7.0672</v>
      </c>
      <c r="H74" s="534">
        <v>0.7</v>
      </c>
      <c r="I74" s="534">
        <v>0.35</v>
      </c>
      <c r="J74" s="521"/>
      <c r="K74" s="534">
        <f t="shared" si="30"/>
        <v>1.5350000000000001</v>
      </c>
      <c r="L74" s="534">
        <f t="shared" si="33"/>
        <v>2.149</v>
      </c>
      <c r="M74" s="536">
        <f>(F74+I74)*0.06</f>
        <v>0.1842</v>
      </c>
      <c r="N74" s="534">
        <f t="shared" si="31"/>
        <v>2.149</v>
      </c>
      <c r="O74" s="521"/>
      <c r="P74" s="521"/>
      <c r="Q74" s="534"/>
      <c r="R74" s="521"/>
      <c r="S74" s="538"/>
      <c r="T74" s="521"/>
      <c r="U74" s="534"/>
      <c r="V74" s="534"/>
      <c r="W74" s="521"/>
      <c r="X74" s="524">
        <f t="shared" si="32"/>
        <v>0.7321950000000002</v>
      </c>
      <c r="Y74" s="528">
        <f t="shared" si="28"/>
        <v>188086782.60000002</v>
      </c>
      <c r="Z74" s="529"/>
      <c r="AA74" s="530"/>
      <c r="AB74" s="530"/>
      <c r="AC74" s="530"/>
      <c r="AD74" s="530"/>
    </row>
    <row r="75" spans="1:30" ht="15">
      <c r="A75" s="519">
        <v>9</v>
      </c>
      <c r="B75" s="531" t="s">
        <v>405</v>
      </c>
      <c r="C75" s="521"/>
      <c r="D75" s="521"/>
      <c r="E75" s="521">
        <f t="shared" si="29"/>
        <v>8.23125</v>
      </c>
      <c r="F75" s="557">
        <v>2.41</v>
      </c>
      <c r="G75" s="521">
        <f t="shared" si="27"/>
        <v>5.279</v>
      </c>
      <c r="H75" s="534">
        <v>0.7</v>
      </c>
      <c r="I75" s="534"/>
      <c r="J75" s="521"/>
      <c r="K75" s="534">
        <f t="shared" si="30"/>
        <v>1.205</v>
      </c>
      <c r="L75" s="534">
        <f t="shared" si="33"/>
        <v>1.687</v>
      </c>
      <c r="M75" s="534"/>
      <c r="N75" s="534">
        <f t="shared" si="31"/>
        <v>1.687</v>
      </c>
      <c r="O75" s="521"/>
      <c r="P75" s="521"/>
      <c r="Q75" s="534"/>
      <c r="R75" s="521"/>
      <c r="S75" s="538"/>
      <c r="T75" s="521"/>
      <c r="U75" s="539"/>
      <c r="V75" s="539"/>
      <c r="W75" s="521"/>
      <c r="X75" s="524">
        <f t="shared" si="32"/>
        <v>0.54225</v>
      </c>
      <c r="Y75" s="528">
        <f t="shared" si="28"/>
        <v>147174749.99999997</v>
      </c>
      <c r="Z75" s="529"/>
      <c r="AA75" s="530"/>
      <c r="AB75" s="530"/>
      <c r="AC75" s="530"/>
      <c r="AD75" s="530"/>
    </row>
    <row r="76" spans="1:30" ht="15">
      <c r="A76" s="519">
        <v>10</v>
      </c>
      <c r="B76" s="531" t="s">
        <v>406</v>
      </c>
      <c r="C76" s="521"/>
      <c r="D76" s="521"/>
      <c r="E76" s="521">
        <f t="shared" si="29"/>
        <v>7.262499999999999</v>
      </c>
      <c r="F76" s="557">
        <v>2.1</v>
      </c>
      <c r="G76" s="521">
        <f t="shared" si="27"/>
        <v>4.6899999999999995</v>
      </c>
      <c r="H76" s="534">
        <v>0.7</v>
      </c>
      <c r="I76" s="534"/>
      <c r="J76" s="521"/>
      <c r="K76" s="534">
        <f t="shared" si="30"/>
        <v>1.05</v>
      </c>
      <c r="L76" s="534">
        <f t="shared" si="33"/>
        <v>1.47</v>
      </c>
      <c r="M76" s="534"/>
      <c r="N76" s="534">
        <f t="shared" si="31"/>
        <v>1.47</v>
      </c>
      <c r="O76" s="521"/>
      <c r="P76" s="521"/>
      <c r="Q76" s="534"/>
      <c r="R76" s="521"/>
      <c r="S76" s="538"/>
      <c r="T76" s="521"/>
      <c r="U76" s="534"/>
      <c r="V76" s="534"/>
      <c r="W76" s="521"/>
      <c r="X76" s="524">
        <f t="shared" si="32"/>
        <v>0.47250000000000003</v>
      </c>
      <c r="Y76" s="528">
        <f t="shared" si="28"/>
        <v>129853499.99999997</v>
      </c>
      <c r="Z76" s="529"/>
      <c r="AA76" s="530"/>
      <c r="AB76" s="530"/>
      <c r="AC76" s="530"/>
      <c r="AD76" s="530"/>
    </row>
    <row r="77" spans="1:30" ht="15">
      <c r="A77" s="519">
        <v>11</v>
      </c>
      <c r="B77" s="531" t="s">
        <v>407</v>
      </c>
      <c r="C77" s="521"/>
      <c r="D77" s="521"/>
      <c r="E77" s="521">
        <f t="shared" si="29"/>
        <v>7.262499999999999</v>
      </c>
      <c r="F77" s="557">
        <v>2.1</v>
      </c>
      <c r="G77" s="521">
        <f t="shared" si="27"/>
        <v>4.6899999999999995</v>
      </c>
      <c r="H77" s="534">
        <v>0.7</v>
      </c>
      <c r="I77" s="534"/>
      <c r="J77" s="521"/>
      <c r="K77" s="534">
        <f t="shared" si="30"/>
        <v>1.05</v>
      </c>
      <c r="L77" s="534">
        <f>(F77+I77)*70%</f>
        <v>1.47</v>
      </c>
      <c r="M77" s="534"/>
      <c r="N77" s="534">
        <f t="shared" si="31"/>
        <v>1.47</v>
      </c>
      <c r="O77" s="521"/>
      <c r="P77" s="521"/>
      <c r="Q77" s="534"/>
      <c r="R77" s="521"/>
      <c r="S77" s="538"/>
      <c r="T77" s="521"/>
      <c r="U77" s="534"/>
      <c r="V77" s="534"/>
      <c r="W77" s="521"/>
      <c r="X77" s="524">
        <f>(F77+I77+M77+U77)*0.225</f>
        <v>0.47250000000000003</v>
      </c>
      <c r="Y77" s="528">
        <f t="shared" si="28"/>
        <v>129853499.99999997</v>
      </c>
      <c r="Z77" s="529"/>
      <c r="AA77" s="530"/>
      <c r="AB77" s="530"/>
      <c r="AC77" s="530"/>
      <c r="AD77" s="530"/>
    </row>
    <row r="78" spans="1:30" ht="15">
      <c r="A78" s="519">
        <v>12</v>
      </c>
      <c r="B78" s="531" t="s">
        <v>408</v>
      </c>
      <c r="C78" s="521"/>
      <c r="D78" s="521"/>
      <c r="E78" s="521">
        <f t="shared" si="29"/>
        <v>7.262499999999999</v>
      </c>
      <c r="F78" s="557">
        <v>2.1</v>
      </c>
      <c r="G78" s="521">
        <f t="shared" si="27"/>
        <v>4.6899999999999995</v>
      </c>
      <c r="H78" s="534">
        <v>0.7</v>
      </c>
      <c r="I78" s="534"/>
      <c r="J78" s="521"/>
      <c r="K78" s="534">
        <f t="shared" si="30"/>
        <v>1.05</v>
      </c>
      <c r="L78" s="534">
        <f>(F78+I78)*70%</f>
        <v>1.47</v>
      </c>
      <c r="M78" s="534"/>
      <c r="N78" s="534">
        <f t="shared" si="31"/>
        <v>1.47</v>
      </c>
      <c r="O78" s="521"/>
      <c r="P78" s="521"/>
      <c r="Q78" s="534"/>
      <c r="R78" s="521"/>
      <c r="S78" s="538"/>
      <c r="T78" s="521"/>
      <c r="U78" s="539"/>
      <c r="V78" s="539"/>
      <c r="W78" s="521"/>
      <c r="X78" s="524">
        <f>(F78+I78+M78+U78)*0.225</f>
        <v>0.47250000000000003</v>
      </c>
      <c r="Y78" s="528">
        <f t="shared" si="28"/>
        <v>129853499.99999997</v>
      </c>
      <c r="Z78" s="529"/>
      <c r="AA78" s="530"/>
      <c r="AB78" s="530"/>
      <c r="AC78" s="530"/>
      <c r="AD78" s="530"/>
    </row>
    <row r="79" spans="1:30" ht="15">
      <c r="A79" s="519">
        <v>13</v>
      </c>
      <c r="B79" s="531" t="s">
        <v>409</v>
      </c>
      <c r="C79" s="521"/>
      <c r="D79" s="521"/>
      <c r="E79" s="521">
        <f t="shared" si="29"/>
        <v>7.262499999999999</v>
      </c>
      <c r="F79" s="557">
        <v>2.1</v>
      </c>
      <c r="G79" s="521">
        <f t="shared" si="27"/>
        <v>4.6899999999999995</v>
      </c>
      <c r="H79" s="534">
        <v>0.7</v>
      </c>
      <c r="I79" s="534"/>
      <c r="J79" s="521"/>
      <c r="K79" s="534">
        <f t="shared" si="30"/>
        <v>1.05</v>
      </c>
      <c r="L79" s="534">
        <f>(F79+I79)*70%</f>
        <v>1.47</v>
      </c>
      <c r="M79" s="534"/>
      <c r="N79" s="534">
        <f t="shared" si="31"/>
        <v>1.47</v>
      </c>
      <c r="O79" s="521"/>
      <c r="P79" s="521"/>
      <c r="Q79" s="534"/>
      <c r="R79" s="521"/>
      <c r="S79" s="538"/>
      <c r="T79" s="521"/>
      <c r="U79" s="539"/>
      <c r="V79" s="539"/>
      <c r="W79" s="521"/>
      <c r="X79" s="524">
        <f>(F79+I79+M79+U79)*0.225</f>
        <v>0.47250000000000003</v>
      </c>
      <c r="Y79" s="528">
        <f t="shared" si="28"/>
        <v>129853499.99999997</v>
      </c>
      <c r="Z79" s="529"/>
      <c r="AA79" s="530"/>
      <c r="AB79" s="530"/>
      <c r="AC79" s="530"/>
      <c r="AD79" s="530"/>
    </row>
    <row r="80" spans="1:30" ht="15">
      <c r="A80" s="519">
        <v>14</v>
      </c>
      <c r="B80" s="531" t="s">
        <v>410</v>
      </c>
      <c r="C80" s="521"/>
      <c r="D80" s="521"/>
      <c r="E80" s="521">
        <f t="shared" si="29"/>
        <v>7.137499999999999</v>
      </c>
      <c r="F80" s="557">
        <v>2.06</v>
      </c>
      <c r="G80" s="521">
        <f t="shared" si="27"/>
        <v>4.614</v>
      </c>
      <c r="H80" s="534">
        <v>0.7</v>
      </c>
      <c r="I80" s="534"/>
      <c r="J80" s="521"/>
      <c r="K80" s="534">
        <f t="shared" si="30"/>
        <v>1.03</v>
      </c>
      <c r="L80" s="534">
        <f>(F80+I80)*70%</f>
        <v>1.442</v>
      </c>
      <c r="M80" s="534"/>
      <c r="N80" s="534">
        <f t="shared" si="31"/>
        <v>1.442</v>
      </c>
      <c r="O80" s="521"/>
      <c r="P80" s="521"/>
      <c r="Q80" s="534"/>
      <c r="R80" s="521"/>
      <c r="S80" s="538"/>
      <c r="T80" s="521"/>
      <c r="U80" s="539"/>
      <c r="V80" s="539"/>
      <c r="W80" s="521"/>
      <c r="X80" s="524">
        <f>(F80+I80+M80+U80)*0.225</f>
        <v>0.4635</v>
      </c>
      <c r="Y80" s="528">
        <f t="shared" si="28"/>
        <v>127618499.99999997</v>
      </c>
      <c r="Z80" s="529"/>
      <c r="AA80" s="530"/>
      <c r="AB80" s="530"/>
      <c r="AC80" s="530"/>
      <c r="AD80" s="530"/>
    </row>
    <row r="81" spans="1:30" ht="15">
      <c r="A81" s="519">
        <v>15</v>
      </c>
      <c r="B81" s="531" t="s">
        <v>411</v>
      </c>
      <c r="C81" s="521"/>
      <c r="D81" s="521"/>
      <c r="E81" s="521">
        <f t="shared" si="29"/>
        <v>7.262499999999999</v>
      </c>
      <c r="F81" s="557">
        <v>2.1</v>
      </c>
      <c r="G81" s="521">
        <f t="shared" si="27"/>
        <v>4.6899999999999995</v>
      </c>
      <c r="H81" s="534">
        <v>0.7</v>
      </c>
      <c r="I81" s="534"/>
      <c r="J81" s="521"/>
      <c r="K81" s="534">
        <f t="shared" si="30"/>
        <v>1.05</v>
      </c>
      <c r="L81" s="534">
        <f>(F81+I81)*70%</f>
        <v>1.47</v>
      </c>
      <c r="M81" s="534"/>
      <c r="N81" s="534">
        <f t="shared" si="31"/>
        <v>1.47</v>
      </c>
      <c r="O81" s="521"/>
      <c r="P81" s="521"/>
      <c r="Q81" s="534"/>
      <c r="R81" s="521"/>
      <c r="S81" s="538"/>
      <c r="T81" s="521"/>
      <c r="U81" s="539"/>
      <c r="V81" s="539"/>
      <c r="W81" s="521"/>
      <c r="X81" s="524">
        <f>(F81+I81+M81+U81)*0.225</f>
        <v>0.47250000000000003</v>
      </c>
      <c r="Y81" s="528">
        <f t="shared" si="28"/>
        <v>129853499.99999997</v>
      </c>
      <c r="Z81" s="529"/>
      <c r="AA81" s="530"/>
      <c r="AB81" s="530"/>
      <c r="AC81" s="530"/>
      <c r="AD81" s="530"/>
    </row>
    <row r="82" spans="1:30" ht="15">
      <c r="A82" s="519">
        <v>16</v>
      </c>
      <c r="B82" s="531" t="s">
        <v>412</v>
      </c>
      <c r="C82" s="521"/>
      <c r="D82" s="521"/>
      <c r="E82" s="521">
        <f t="shared" si="29"/>
        <v>7.887500000000001</v>
      </c>
      <c r="F82" s="557">
        <v>2.1</v>
      </c>
      <c r="G82" s="521">
        <f>SUM(H82:W82)</f>
        <v>5.2700000000000005</v>
      </c>
      <c r="H82" s="534">
        <v>0.7</v>
      </c>
      <c r="I82" s="534">
        <v>0.2</v>
      </c>
      <c r="J82" s="521"/>
      <c r="K82" s="534">
        <f>(F82+I82)*50%</f>
        <v>1.1500000000000001</v>
      </c>
      <c r="L82" s="534">
        <f t="shared" si="33"/>
        <v>1.61</v>
      </c>
      <c r="M82" s="534"/>
      <c r="N82" s="534">
        <f>(F82+I82)*70%</f>
        <v>1.61</v>
      </c>
      <c r="O82" s="521"/>
      <c r="P82" s="521"/>
      <c r="Q82" s="534"/>
      <c r="R82" s="521"/>
      <c r="S82" s="538"/>
      <c r="T82" s="521"/>
      <c r="U82" s="539"/>
      <c r="V82" s="539"/>
      <c r="W82" s="521"/>
      <c r="X82" s="524">
        <f t="shared" si="32"/>
        <v>0.5175000000000001</v>
      </c>
      <c r="Y82" s="528">
        <f>E82*1490000*12</f>
        <v>141028500.00000003</v>
      </c>
      <c r="Z82" s="529"/>
      <c r="AA82" s="530"/>
      <c r="AB82" s="530"/>
      <c r="AC82" s="530"/>
      <c r="AD82" s="530"/>
    </row>
    <row r="83" spans="1:30" ht="15">
      <c r="A83" s="519">
        <v>17</v>
      </c>
      <c r="B83" s="531" t="s">
        <v>413</v>
      </c>
      <c r="C83" s="521"/>
      <c r="D83" s="521"/>
      <c r="E83" s="521">
        <f t="shared" si="29"/>
        <v>8.23125</v>
      </c>
      <c r="F83" s="557">
        <v>2.41</v>
      </c>
      <c r="G83" s="521">
        <f>SUM(H83:W83)</f>
        <v>5.279</v>
      </c>
      <c r="H83" s="534">
        <v>0.7</v>
      </c>
      <c r="I83" s="534"/>
      <c r="J83" s="521"/>
      <c r="K83" s="534">
        <f>(F83+I83)*50%</f>
        <v>1.205</v>
      </c>
      <c r="L83" s="534">
        <f>(F83+I83)*70%</f>
        <v>1.687</v>
      </c>
      <c r="M83" s="534"/>
      <c r="N83" s="534">
        <f>(F83+I83)*70%</f>
        <v>1.687</v>
      </c>
      <c r="O83" s="521"/>
      <c r="P83" s="521"/>
      <c r="Q83" s="534"/>
      <c r="R83" s="521"/>
      <c r="S83" s="538"/>
      <c r="T83" s="521"/>
      <c r="U83" s="534"/>
      <c r="V83" s="534"/>
      <c r="W83" s="521"/>
      <c r="X83" s="524">
        <f>(F83+I83+M83+U83)*0.225</f>
        <v>0.54225</v>
      </c>
      <c r="Y83" s="528">
        <f>E83*1490000*12</f>
        <v>147174749.99999997</v>
      </c>
      <c r="Z83" s="529"/>
      <c r="AA83" s="530"/>
      <c r="AB83" s="530"/>
      <c r="AC83" s="530"/>
      <c r="AD83" s="530"/>
    </row>
    <row r="84" spans="1:30" ht="15">
      <c r="A84" s="504"/>
      <c r="B84" s="553"/>
      <c r="C84" s="501"/>
      <c r="D84" s="501"/>
      <c r="E84" s="501"/>
      <c r="F84" s="501"/>
      <c r="G84" s="501"/>
      <c r="H84" s="501"/>
      <c r="I84" s="501"/>
      <c r="J84" s="501"/>
      <c r="K84" s="501"/>
      <c r="L84" s="501"/>
      <c r="M84" s="501"/>
      <c r="N84" s="501"/>
      <c r="O84" s="501"/>
      <c r="P84" s="501"/>
      <c r="Q84" s="501"/>
      <c r="R84" s="501"/>
      <c r="S84" s="501"/>
      <c r="T84" s="501"/>
      <c r="U84" s="501"/>
      <c r="V84" s="501"/>
      <c r="W84" s="501"/>
      <c r="X84" s="501"/>
      <c r="Y84" s="501"/>
      <c r="Z84" s="503"/>
      <c r="AA84" s="17"/>
      <c r="AB84" s="17"/>
      <c r="AC84" s="17"/>
      <c r="AD84" s="17"/>
    </row>
    <row r="85" spans="1:30" ht="15">
      <c r="A85" s="505"/>
      <c r="B85" s="559"/>
      <c r="C85" s="512"/>
      <c r="D85" s="512"/>
      <c r="E85" s="512"/>
      <c r="F85" s="560"/>
      <c r="G85" s="512"/>
      <c r="H85" s="561"/>
      <c r="I85" s="562"/>
      <c r="J85" s="512"/>
      <c r="K85" s="561"/>
      <c r="L85" s="562"/>
      <c r="M85" s="562"/>
      <c r="N85" s="562"/>
      <c r="O85" s="512"/>
      <c r="P85" s="512"/>
      <c r="Q85" s="562"/>
      <c r="R85" s="512"/>
      <c r="S85" s="498"/>
      <c r="T85" s="512"/>
      <c r="U85" s="562"/>
      <c r="V85" s="562"/>
      <c r="W85" s="512"/>
      <c r="X85" s="515"/>
      <c r="Y85" s="2"/>
      <c r="Z85" s="496"/>
      <c r="AA85" s="22"/>
      <c r="AB85" s="22"/>
      <c r="AC85" s="22"/>
      <c r="AD85" s="22"/>
    </row>
    <row r="86" spans="1:30" ht="25.5">
      <c r="A86" s="14" t="s">
        <v>414</v>
      </c>
      <c r="B86" s="10" t="s">
        <v>415</v>
      </c>
      <c r="C86" s="552">
        <v>19</v>
      </c>
      <c r="D86" s="552">
        <v>19</v>
      </c>
      <c r="E86" s="552">
        <f aca="true" t="shared" si="34" ref="E86:X86">E87+E112</f>
        <v>165.53714399999998</v>
      </c>
      <c r="F86" s="552">
        <f t="shared" si="34"/>
        <v>49.150000000000006</v>
      </c>
      <c r="G86" s="552">
        <f t="shared" si="34"/>
        <v>103.88740000000001</v>
      </c>
      <c r="H86" s="552">
        <f t="shared" si="34"/>
        <v>13.299999999999995</v>
      </c>
      <c r="I86" s="552">
        <f t="shared" si="34"/>
        <v>1.1500000000000001</v>
      </c>
      <c r="J86" s="552">
        <f t="shared" si="34"/>
        <v>0</v>
      </c>
      <c r="K86" s="552">
        <f t="shared" si="34"/>
        <v>25.150000000000002</v>
      </c>
      <c r="L86" s="552">
        <f t="shared" si="34"/>
        <v>22.686999999999998</v>
      </c>
      <c r="M86" s="552">
        <f t="shared" si="34"/>
        <v>2.890400000000001</v>
      </c>
      <c r="N86" s="552">
        <f t="shared" si="34"/>
        <v>35.21</v>
      </c>
      <c r="O86" s="552">
        <f t="shared" si="34"/>
        <v>0</v>
      </c>
      <c r="P86" s="552">
        <f t="shared" si="34"/>
        <v>0</v>
      </c>
      <c r="Q86" s="552">
        <f t="shared" si="34"/>
        <v>3.5</v>
      </c>
      <c r="R86" s="552">
        <f t="shared" si="34"/>
        <v>0</v>
      </c>
      <c r="S86" s="552">
        <f t="shared" si="34"/>
        <v>0</v>
      </c>
      <c r="T86" s="552">
        <f t="shared" si="34"/>
        <v>0</v>
      </c>
      <c r="U86" s="552">
        <f t="shared" si="34"/>
        <v>0</v>
      </c>
      <c r="V86" s="552">
        <f t="shared" si="34"/>
        <v>0</v>
      </c>
      <c r="W86" s="552">
        <f t="shared" si="34"/>
        <v>0</v>
      </c>
      <c r="X86" s="552">
        <f t="shared" si="34"/>
        <v>12.499743999999998</v>
      </c>
      <c r="Y86" s="563">
        <f>+Y87+Y113</f>
        <v>3822567746</v>
      </c>
      <c r="Z86" s="563"/>
      <c r="AA86" s="17"/>
      <c r="AB86" s="17"/>
      <c r="AC86" s="17"/>
      <c r="AD86" s="17"/>
    </row>
    <row r="87" spans="1:30" ht="15">
      <c r="A87" s="9"/>
      <c r="B87" s="564" t="s">
        <v>75</v>
      </c>
      <c r="C87" s="565">
        <v>19</v>
      </c>
      <c r="D87" s="566">
        <v>19</v>
      </c>
      <c r="E87" s="552">
        <f aca="true" t="shared" si="35" ref="E87:X87">SUM(E93:E111)</f>
        <v>165.53714399999998</v>
      </c>
      <c r="F87" s="552">
        <f t="shared" si="35"/>
        <v>49.150000000000006</v>
      </c>
      <c r="G87" s="552">
        <f t="shared" si="35"/>
        <v>103.88740000000001</v>
      </c>
      <c r="H87" s="552">
        <f t="shared" si="35"/>
        <v>13.299999999999995</v>
      </c>
      <c r="I87" s="552">
        <f t="shared" si="35"/>
        <v>1.1500000000000001</v>
      </c>
      <c r="J87" s="552">
        <f t="shared" si="35"/>
        <v>0</v>
      </c>
      <c r="K87" s="552">
        <f t="shared" si="35"/>
        <v>25.150000000000002</v>
      </c>
      <c r="L87" s="552">
        <f t="shared" si="35"/>
        <v>22.686999999999998</v>
      </c>
      <c r="M87" s="552">
        <f t="shared" si="35"/>
        <v>2.890400000000001</v>
      </c>
      <c r="N87" s="552">
        <f t="shared" si="35"/>
        <v>35.21</v>
      </c>
      <c r="O87" s="552">
        <f t="shared" si="35"/>
        <v>0</v>
      </c>
      <c r="P87" s="552">
        <f t="shared" si="35"/>
        <v>0</v>
      </c>
      <c r="Q87" s="552">
        <f t="shared" si="35"/>
        <v>3.5</v>
      </c>
      <c r="R87" s="552">
        <f t="shared" si="35"/>
        <v>0</v>
      </c>
      <c r="S87" s="552">
        <f t="shared" si="35"/>
        <v>0</v>
      </c>
      <c r="T87" s="552">
        <f t="shared" si="35"/>
        <v>0</v>
      </c>
      <c r="U87" s="552">
        <f t="shared" si="35"/>
        <v>0</v>
      </c>
      <c r="V87" s="552">
        <f t="shared" si="35"/>
        <v>0</v>
      </c>
      <c r="W87" s="552">
        <f t="shared" si="35"/>
        <v>0</v>
      </c>
      <c r="X87" s="552">
        <f t="shared" si="35"/>
        <v>12.499743999999998</v>
      </c>
      <c r="Y87" s="552">
        <f>ROUNDUP(SUM(Y93:Y111),-3)</f>
        <v>2959805000</v>
      </c>
      <c r="Z87" s="563"/>
      <c r="AA87" s="17"/>
      <c r="AB87" s="17"/>
      <c r="AC87" s="17"/>
      <c r="AD87" s="17"/>
    </row>
    <row r="88" spans="1:30" ht="15">
      <c r="A88" s="567"/>
      <c r="B88" s="550"/>
      <c r="C88" s="568"/>
      <c r="D88" s="569"/>
      <c r="E88" s="515"/>
      <c r="F88" s="513"/>
      <c r="G88" s="515"/>
      <c r="H88" s="515"/>
      <c r="I88" s="515"/>
      <c r="J88" s="518"/>
      <c r="K88" s="515"/>
      <c r="L88" s="518"/>
      <c r="M88" s="570"/>
      <c r="N88" s="515"/>
      <c r="O88" s="518"/>
      <c r="P88" s="518"/>
      <c r="Q88" s="515"/>
      <c r="R88" s="518"/>
      <c r="S88" s="518"/>
      <c r="T88" s="518"/>
      <c r="U88" s="518"/>
      <c r="V88" s="518"/>
      <c r="W88" s="518"/>
      <c r="X88" s="515"/>
      <c r="Y88" s="2"/>
      <c r="Z88" s="18"/>
      <c r="AA88" s="17"/>
      <c r="AB88" s="17"/>
      <c r="AC88" s="17"/>
      <c r="AD88" s="17"/>
    </row>
    <row r="89" spans="1:30" ht="15">
      <c r="A89" s="567"/>
      <c r="B89" s="550"/>
      <c r="C89" s="568"/>
      <c r="D89" s="569"/>
      <c r="E89" s="515"/>
      <c r="F89" s="513"/>
      <c r="G89" s="515"/>
      <c r="H89" s="515"/>
      <c r="I89" s="515"/>
      <c r="J89" s="518"/>
      <c r="K89" s="515"/>
      <c r="L89" s="515"/>
      <c r="M89" s="570"/>
      <c r="N89" s="515"/>
      <c r="O89" s="518"/>
      <c r="P89" s="518"/>
      <c r="Q89" s="515"/>
      <c r="R89" s="518"/>
      <c r="S89" s="518"/>
      <c r="T89" s="518"/>
      <c r="U89" s="518"/>
      <c r="V89" s="518"/>
      <c r="W89" s="518"/>
      <c r="X89" s="515"/>
      <c r="Y89" s="2"/>
      <c r="Z89" s="18"/>
      <c r="AA89" s="17"/>
      <c r="AB89" s="17"/>
      <c r="AC89" s="17"/>
      <c r="AD89" s="17"/>
    </row>
    <row r="90" spans="1:30" ht="15">
      <c r="A90" s="567"/>
      <c r="B90" s="550"/>
      <c r="C90" s="568"/>
      <c r="D90" s="569"/>
      <c r="E90" s="515"/>
      <c r="F90" s="513"/>
      <c r="G90" s="515"/>
      <c r="H90" s="515"/>
      <c r="I90" s="515"/>
      <c r="J90" s="518"/>
      <c r="K90" s="515"/>
      <c r="L90" s="515"/>
      <c r="M90" s="570"/>
      <c r="N90" s="515"/>
      <c r="O90" s="518"/>
      <c r="P90" s="518"/>
      <c r="Q90" s="515"/>
      <c r="R90" s="518"/>
      <c r="S90" s="518"/>
      <c r="T90" s="518"/>
      <c r="U90" s="518"/>
      <c r="V90" s="518"/>
      <c r="W90" s="518"/>
      <c r="X90" s="515"/>
      <c r="Y90" s="2"/>
      <c r="Z90" s="18"/>
      <c r="AA90" s="17"/>
      <c r="AB90" s="17"/>
      <c r="AC90" s="17"/>
      <c r="AD90" s="17"/>
    </row>
    <row r="91" spans="1:30" ht="15">
      <c r="A91" s="567"/>
      <c r="B91" s="550"/>
      <c r="C91" s="568"/>
      <c r="D91" s="569"/>
      <c r="E91" s="515"/>
      <c r="F91" s="513"/>
      <c r="G91" s="515"/>
      <c r="H91" s="515"/>
      <c r="I91" s="515"/>
      <c r="J91" s="518"/>
      <c r="K91" s="515"/>
      <c r="L91" s="515"/>
      <c r="M91" s="518"/>
      <c r="N91" s="515"/>
      <c r="O91" s="518"/>
      <c r="P91" s="518"/>
      <c r="Q91" s="515"/>
      <c r="R91" s="518"/>
      <c r="S91" s="518"/>
      <c r="T91" s="518"/>
      <c r="U91" s="518"/>
      <c r="V91" s="518"/>
      <c r="W91" s="518"/>
      <c r="X91" s="515"/>
      <c r="Y91" s="2"/>
      <c r="Z91" s="18"/>
      <c r="AA91" s="17"/>
      <c r="AB91" s="17"/>
      <c r="AC91" s="17"/>
      <c r="AD91" s="17"/>
    </row>
    <row r="92" spans="1:30" ht="15">
      <c r="A92" s="567"/>
      <c r="B92" s="550"/>
      <c r="C92" s="568"/>
      <c r="D92" s="569"/>
      <c r="E92" s="515"/>
      <c r="F92" s="513"/>
      <c r="G92" s="515"/>
      <c r="H92" s="515"/>
      <c r="I92" s="515"/>
      <c r="J92" s="518"/>
      <c r="K92" s="515"/>
      <c r="L92" s="515"/>
      <c r="M92" s="518"/>
      <c r="N92" s="515"/>
      <c r="O92" s="518"/>
      <c r="P92" s="518"/>
      <c r="Q92" s="515"/>
      <c r="R92" s="518"/>
      <c r="S92" s="518"/>
      <c r="T92" s="518"/>
      <c r="U92" s="518"/>
      <c r="V92" s="518"/>
      <c r="W92" s="518"/>
      <c r="X92" s="515"/>
      <c r="Y92" s="2"/>
      <c r="Z92" s="18"/>
      <c r="AA92" s="17"/>
      <c r="AB92" s="17"/>
      <c r="AC92" s="17"/>
      <c r="AD92" s="17"/>
    </row>
    <row r="93" spans="1:30" ht="15">
      <c r="A93" s="571">
        <v>1</v>
      </c>
      <c r="B93" s="572" t="s">
        <v>416</v>
      </c>
      <c r="C93" s="573"/>
      <c r="D93" s="574"/>
      <c r="E93" s="524">
        <f>F93+G93+X93</f>
        <v>9.3947125</v>
      </c>
      <c r="F93" s="575">
        <v>3</v>
      </c>
      <c r="G93" s="524">
        <f>SUM(H93:W93)</f>
        <v>5.577500000000001</v>
      </c>
      <c r="H93" s="524">
        <v>0.7</v>
      </c>
      <c r="I93" s="524">
        <v>0.25</v>
      </c>
      <c r="J93" s="527"/>
      <c r="K93" s="524">
        <f>0.5*(F93+I93)</f>
        <v>1.625</v>
      </c>
      <c r="L93" s="524"/>
      <c r="M93" s="524">
        <f>0.07*(F93+I93)</f>
        <v>0.22750000000000004</v>
      </c>
      <c r="N93" s="524">
        <f>0.7*(F93+I93)</f>
        <v>2.275</v>
      </c>
      <c r="O93" s="527"/>
      <c r="P93" s="527"/>
      <c r="Q93" s="524">
        <v>0.5</v>
      </c>
      <c r="R93" s="527"/>
      <c r="S93" s="576"/>
      <c r="T93" s="527"/>
      <c r="U93" s="527"/>
      <c r="V93" s="527"/>
      <c r="W93" s="527"/>
      <c r="X93" s="524">
        <f>(F93+I93+J93+M93+U93)*23.5%</f>
        <v>0.8172125</v>
      </c>
      <c r="Y93" s="528">
        <f aca="true" t="shared" si="36" ref="Y93:Y111">E93*1490000*12</f>
        <v>167977459.50000003</v>
      </c>
      <c r="Z93" s="577"/>
      <c r="AA93" s="578"/>
      <c r="AB93" s="578"/>
      <c r="AC93" s="578"/>
      <c r="AD93" s="578"/>
    </row>
    <row r="94" spans="1:30" ht="15">
      <c r="A94" s="571">
        <v>2</v>
      </c>
      <c r="B94" s="572" t="s">
        <v>417</v>
      </c>
      <c r="C94" s="573"/>
      <c r="D94" s="574"/>
      <c r="E94" s="524">
        <f aca="true" t="shared" si="37" ref="E94:E111">F94+G94+X94</f>
        <v>11.51612</v>
      </c>
      <c r="F94" s="575">
        <v>3.66</v>
      </c>
      <c r="G94" s="524">
        <f>SUM(H94:W94)</f>
        <v>6.824</v>
      </c>
      <c r="H94" s="524">
        <v>0.7</v>
      </c>
      <c r="I94" s="524"/>
      <c r="J94" s="527"/>
      <c r="K94" s="524">
        <f>0.5*(F94+I94)</f>
        <v>1.83</v>
      </c>
      <c r="L94" s="524"/>
      <c r="M94" s="524">
        <f>0.2*(F94+I94)</f>
        <v>0.7320000000000001</v>
      </c>
      <c r="N94" s="524">
        <f>0.7*(F94+I94)</f>
        <v>2.562</v>
      </c>
      <c r="O94" s="527"/>
      <c r="P94" s="527"/>
      <c r="Q94" s="524">
        <v>1</v>
      </c>
      <c r="R94" s="527"/>
      <c r="S94" s="576"/>
      <c r="T94" s="527"/>
      <c r="U94" s="527"/>
      <c r="V94" s="527"/>
      <c r="W94" s="527"/>
      <c r="X94" s="524">
        <f>(F94+I94+J94+M94+U94)*23.5%</f>
        <v>1.03212</v>
      </c>
      <c r="Y94" s="528">
        <f>E94*1490000*12</f>
        <v>205908225.60000002</v>
      </c>
      <c r="Z94" s="577"/>
      <c r="AA94" s="578"/>
      <c r="AB94" s="578"/>
      <c r="AC94" s="578"/>
      <c r="AD94" s="578"/>
    </row>
    <row r="95" spans="1:30" ht="15">
      <c r="A95" s="571">
        <v>3</v>
      </c>
      <c r="B95" s="579" t="s">
        <v>418</v>
      </c>
      <c r="C95" s="573"/>
      <c r="D95" s="574"/>
      <c r="E95" s="524">
        <f t="shared" si="37"/>
        <v>7.9322715</v>
      </c>
      <c r="F95" s="575">
        <v>2.67</v>
      </c>
      <c r="G95" s="524">
        <f>SUM(H95:W95)</f>
        <v>4.5908999999999995</v>
      </c>
      <c r="H95" s="524">
        <v>0.7</v>
      </c>
      <c r="I95" s="524"/>
      <c r="J95" s="527"/>
      <c r="K95" s="524">
        <f>0.5*(F95+I95)</f>
        <v>1.335</v>
      </c>
      <c r="L95" s="524"/>
      <c r="M95" s="527">
        <f>0.07*F95</f>
        <v>0.1869</v>
      </c>
      <c r="N95" s="524">
        <f>0.7*(F95+I95)</f>
        <v>1.8689999999999998</v>
      </c>
      <c r="O95" s="527"/>
      <c r="P95" s="527"/>
      <c r="Q95" s="524">
        <v>0.5</v>
      </c>
      <c r="R95" s="527"/>
      <c r="S95" s="576"/>
      <c r="T95" s="527"/>
      <c r="U95" s="527"/>
      <c r="V95" s="527"/>
      <c r="W95" s="527"/>
      <c r="X95" s="524">
        <f>(F95+I95+J95+M95+U95)*23.5%</f>
        <v>0.6713715</v>
      </c>
      <c r="Y95" s="528">
        <f>E95*1490000*12</f>
        <v>141829014.42000002</v>
      </c>
      <c r="Z95" s="577"/>
      <c r="AA95" s="578"/>
      <c r="AB95" s="578"/>
      <c r="AC95" s="578"/>
      <c r="AD95" s="578"/>
    </row>
    <row r="96" spans="1:30" ht="15">
      <c r="A96" s="571">
        <v>4</v>
      </c>
      <c r="B96" s="572" t="s">
        <v>419</v>
      </c>
      <c r="C96" s="573"/>
      <c r="D96" s="574"/>
      <c r="E96" s="524">
        <f t="shared" si="37"/>
        <v>8.058344</v>
      </c>
      <c r="F96" s="575">
        <v>2.72</v>
      </c>
      <c r="G96" s="524">
        <f>SUM(H96:W96)</f>
        <v>4.6544</v>
      </c>
      <c r="H96" s="524">
        <v>0.7</v>
      </c>
      <c r="I96" s="524"/>
      <c r="J96" s="527"/>
      <c r="K96" s="524">
        <f>0.5*(F96+I96)</f>
        <v>1.36</v>
      </c>
      <c r="L96" s="524"/>
      <c r="M96" s="524">
        <f>0.07*(F96+I96)</f>
        <v>0.19040000000000004</v>
      </c>
      <c r="N96" s="524">
        <f>0.7*(F96+I96)</f>
        <v>1.904</v>
      </c>
      <c r="O96" s="527"/>
      <c r="P96" s="527"/>
      <c r="Q96" s="524">
        <v>0.5</v>
      </c>
      <c r="R96" s="527"/>
      <c r="S96" s="576"/>
      <c r="T96" s="527"/>
      <c r="U96" s="527"/>
      <c r="V96" s="527"/>
      <c r="W96" s="527"/>
      <c r="X96" s="524">
        <f>(F96+I96+J96+M96+U96)*23.5%</f>
        <v>0.683944</v>
      </c>
      <c r="Y96" s="528">
        <f>E96*1490000*12</f>
        <v>144083190.72</v>
      </c>
      <c r="Z96" s="577"/>
      <c r="AA96" s="578"/>
      <c r="AB96" s="578"/>
      <c r="AC96" s="578"/>
      <c r="AD96" s="578"/>
    </row>
    <row r="97" spans="1:30" ht="15">
      <c r="A97" s="571">
        <v>5</v>
      </c>
      <c r="B97" s="572" t="s">
        <v>420</v>
      </c>
      <c r="C97" s="573"/>
      <c r="D97" s="574"/>
      <c r="E97" s="524">
        <f t="shared" si="37"/>
        <v>8.058344</v>
      </c>
      <c r="F97" s="575">
        <v>2.72</v>
      </c>
      <c r="G97" s="524">
        <f aca="true" t="shared" si="38" ref="G97:G111">SUM(H97:W97)</f>
        <v>4.6544</v>
      </c>
      <c r="H97" s="524">
        <v>0.7</v>
      </c>
      <c r="I97" s="524"/>
      <c r="J97" s="527"/>
      <c r="K97" s="524">
        <f aca="true" t="shared" si="39" ref="K97:K111">0.5*(F97+I97)</f>
        <v>1.36</v>
      </c>
      <c r="L97" s="524"/>
      <c r="M97" s="524">
        <f>0.07*(F97+I97)</f>
        <v>0.19040000000000004</v>
      </c>
      <c r="N97" s="524">
        <f aca="true" t="shared" si="40" ref="N97:N111">0.7*(F97+I97)</f>
        <v>1.904</v>
      </c>
      <c r="O97" s="527"/>
      <c r="P97" s="527"/>
      <c r="Q97" s="524">
        <v>0.5</v>
      </c>
      <c r="R97" s="527"/>
      <c r="S97" s="576"/>
      <c r="T97" s="527"/>
      <c r="U97" s="527"/>
      <c r="V97" s="527"/>
      <c r="W97" s="527"/>
      <c r="X97" s="524">
        <f aca="true" t="shared" si="41" ref="X97:X111">(F97+I97+J97+M97+U97)*23.5%</f>
        <v>0.683944</v>
      </c>
      <c r="Y97" s="528">
        <f t="shared" si="36"/>
        <v>144083190.72</v>
      </c>
      <c r="Z97" s="577"/>
      <c r="AA97" s="578"/>
      <c r="AB97" s="578"/>
      <c r="AC97" s="578"/>
      <c r="AD97" s="578"/>
    </row>
    <row r="98" spans="1:30" ht="15">
      <c r="A98" s="571">
        <v>6</v>
      </c>
      <c r="B98" s="541" t="s">
        <v>421</v>
      </c>
      <c r="C98" s="573"/>
      <c r="D98" s="574"/>
      <c r="E98" s="524">
        <f t="shared" si="37"/>
        <v>7.7851</v>
      </c>
      <c r="F98" s="580">
        <v>2.26</v>
      </c>
      <c r="G98" s="581">
        <f t="shared" si="38"/>
        <v>4.994</v>
      </c>
      <c r="H98" s="524">
        <v>0.7</v>
      </c>
      <c r="I98" s="524"/>
      <c r="J98" s="527"/>
      <c r="K98" s="524">
        <f t="shared" si="39"/>
        <v>1.13</v>
      </c>
      <c r="L98" s="524">
        <f>0.7*(F98+I98)</f>
        <v>1.5819999999999999</v>
      </c>
      <c r="M98" s="524"/>
      <c r="N98" s="524">
        <f t="shared" si="40"/>
        <v>1.5819999999999999</v>
      </c>
      <c r="O98" s="527"/>
      <c r="P98" s="527"/>
      <c r="Q98" s="524"/>
      <c r="R98" s="527"/>
      <c r="S98" s="576"/>
      <c r="T98" s="527"/>
      <c r="U98" s="527"/>
      <c r="V98" s="527"/>
      <c r="W98" s="527"/>
      <c r="X98" s="524">
        <f t="shared" si="41"/>
        <v>0.5310999999999999</v>
      </c>
      <c r="Y98" s="528">
        <f t="shared" si="36"/>
        <v>139197588</v>
      </c>
      <c r="Z98" s="577"/>
      <c r="AA98" s="578"/>
      <c r="AB98" s="578"/>
      <c r="AC98" s="578"/>
      <c r="AD98" s="578"/>
    </row>
    <row r="99" spans="1:30" ht="15">
      <c r="A99" s="571">
        <v>7</v>
      </c>
      <c r="B99" s="579" t="s">
        <v>422</v>
      </c>
      <c r="C99" s="573"/>
      <c r="D99" s="574"/>
      <c r="E99" s="524">
        <f t="shared" si="37"/>
        <v>7.7851</v>
      </c>
      <c r="F99" s="575">
        <v>2.26</v>
      </c>
      <c r="G99" s="524">
        <f t="shared" si="38"/>
        <v>4.994</v>
      </c>
      <c r="H99" s="524">
        <v>0.7</v>
      </c>
      <c r="I99" s="524"/>
      <c r="J99" s="527"/>
      <c r="K99" s="524">
        <f t="shared" si="39"/>
        <v>1.13</v>
      </c>
      <c r="L99" s="524">
        <f aca="true" t="shared" si="42" ref="L99:L110">0.7*(F99+I99)</f>
        <v>1.5819999999999999</v>
      </c>
      <c r="M99" s="524"/>
      <c r="N99" s="524">
        <f t="shared" si="40"/>
        <v>1.5819999999999999</v>
      </c>
      <c r="O99" s="527"/>
      <c r="P99" s="527"/>
      <c r="Q99" s="524"/>
      <c r="R99" s="527"/>
      <c r="S99" s="576"/>
      <c r="T99" s="527"/>
      <c r="U99" s="527"/>
      <c r="V99" s="527"/>
      <c r="W99" s="527"/>
      <c r="X99" s="524">
        <f t="shared" si="41"/>
        <v>0.5310999999999999</v>
      </c>
      <c r="Y99" s="528">
        <f t="shared" si="36"/>
        <v>139197588</v>
      </c>
      <c r="Z99" s="577"/>
      <c r="AA99" s="578"/>
      <c r="AB99" s="578"/>
      <c r="AC99" s="578"/>
      <c r="AD99" s="578"/>
    </row>
    <row r="100" spans="1:30" ht="15">
      <c r="A100" s="571">
        <v>8</v>
      </c>
      <c r="B100" s="579" t="s">
        <v>423</v>
      </c>
      <c r="C100" s="573"/>
      <c r="D100" s="574"/>
      <c r="E100" s="524">
        <f t="shared" si="37"/>
        <v>8.4192715</v>
      </c>
      <c r="F100" s="575">
        <v>2.67</v>
      </c>
      <c r="G100" s="524">
        <f t="shared" si="38"/>
        <v>5.0309</v>
      </c>
      <c r="H100" s="524">
        <v>0.7</v>
      </c>
      <c r="I100" s="524">
        <v>0.2</v>
      </c>
      <c r="J100" s="527"/>
      <c r="K100" s="524">
        <f t="shared" si="39"/>
        <v>1.435</v>
      </c>
      <c r="L100" s="524"/>
      <c r="M100" s="524">
        <f>0.07*F100</f>
        <v>0.1869</v>
      </c>
      <c r="N100" s="524">
        <f t="shared" si="40"/>
        <v>2.009</v>
      </c>
      <c r="O100" s="527"/>
      <c r="P100" s="527"/>
      <c r="Q100" s="524">
        <v>0.5</v>
      </c>
      <c r="R100" s="527"/>
      <c r="S100" s="576"/>
      <c r="T100" s="527"/>
      <c r="U100" s="527"/>
      <c r="V100" s="527"/>
      <c r="W100" s="527"/>
      <c r="X100" s="524">
        <f t="shared" si="41"/>
        <v>0.7183715</v>
      </c>
      <c r="Y100" s="528">
        <f t="shared" si="36"/>
        <v>150536574.42000002</v>
      </c>
      <c r="Z100" s="577"/>
      <c r="AA100" s="578"/>
      <c r="AB100" s="578"/>
      <c r="AC100" s="578"/>
      <c r="AD100" s="578"/>
    </row>
    <row r="101" spans="1:30" ht="15">
      <c r="A101" s="571">
        <v>9</v>
      </c>
      <c r="B101" s="579" t="s">
        <v>424</v>
      </c>
      <c r="C101" s="573"/>
      <c r="D101" s="574"/>
      <c r="E101" s="524">
        <f t="shared" si="37"/>
        <v>9.7715215</v>
      </c>
      <c r="F101" s="575">
        <v>2.67</v>
      </c>
      <c r="G101" s="524">
        <f>SUM(H101:W101)</f>
        <v>6.3949</v>
      </c>
      <c r="H101" s="524">
        <v>0.7</v>
      </c>
      <c r="I101" s="524">
        <v>0.15</v>
      </c>
      <c r="J101" s="527"/>
      <c r="K101" s="524">
        <f>0.5*(F101+I101)</f>
        <v>1.41</v>
      </c>
      <c r="L101" s="524">
        <f t="shared" si="42"/>
        <v>1.9739999999999998</v>
      </c>
      <c r="M101" s="524">
        <f>0.07*F101</f>
        <v>0.1869</v>
      </c>
      <c r="N101" s="524">
        <f>0.7*(F101+I101)</f>
        <v>1.9739999999999998</v>
      </c>
      <c r="O101" s="527"/>
      <c r="P101" s="527"/>
      <c r="Q101" s="524"/>
      <c r="R101" s="527"/>
      <c r="S101" s="576"/>
      <c r="T101" s="527"/>
      <c r="U101" s="527"/>
      <c r="V101" s="527"/>
      <c r="W101" s="527"/>
      <c r="X101" s="524">
        <f>(F101+I101+J101+M101+U101)*23.5%</f>
        <v>0.7066214999999999</v>
      </c>
      <c r="Y101" s="528">
        <f>E101*1490000*12</f>
        <v>174714804.42000002</v>
      </c>
      <c r="Z101" s="577"/>
      <c r="AA101" s="578"/>
      <c r="AB101" s="578"/>
      <c r="AC101" s="578"/>
      <c r="AD101" s="578"/>
    </row>
    <row r="102" spans="1:30" ht="15">
      <c r="A102" s="571">
        <v>10</v>
      </c>
      <c r="B102" s="579" t="s">
        <v>425</v>
      </c>
      <c r="C102" s="573"/>
      <c r="D102" s="574"/>
      <c r="E102" s="524">
        <f t="shared" si="37"/>
        <v>9.221385999999999</v>
      </c>
      <c r="F102" s="575">
        <v>2.46</v>
      </c>
      <c r="G102" s="524">
        <f>SUM(H102:W102)</f>
        <v>6.1015999999999995</v>
      </c>
      <c r="H102" s="524">
        <v>0.7</v>
      </c>
      <c r="I102" s="524">
        <v>0.2</v>
      </c>
      <c r="J102" s="527"/>
      <c r="K102" s="524">
        <f>0.5*(F102+I102)</f>
        <v>1.33</v>
      </c>
      <c r="L102" s="524">
        <f>0.7*(F102+I102)</f>
        <v>1.8619999999999999</v>
      </c>
      <c r="M102" s="524">
        <f>0.06*F102</f>
        <v>0.14759999999999998</v>
      </c>
      <c r="N102" s="524">
        <f>0.7*(F102+I102)</f>
        <v>1.8619999999999999</v>
      </c>
      <c r="O102" s="527"/>
      <c r="P102" s="527"/>
      <c r="Q102" s="524"/>
      <c r="R102" s="527"/>
      <c r="S102" s="576"/>
      <c r="T102" s="527"/>
      <c r="U102" s="527"/>
      <c r="V102" s="527"/>
      <c r="W102" s="527"/>
      <c r="X102" s="524">
        <f>(F102+I102+J102+M102+U102)*23.5%</f>
        <v>0.659786</v>
      </c>
      <c r="Y102" s="528">
        <f>E102*1490000*12</f>
        <v>164878381.67999998</v>
      </c>
      <c r="Z102" s="577"/>
      <c r="AA102" s="578"/>
      <c r="AB102" s="578"/>
      <c r="AC102" s="578"/>
      <c r="AD102" s="578"/>
    </row>
    <row r="103" spans="1:30" ht="15">
      <c r="A103" s="571">
        <v>11</v>
      </c>
      <c r="B103" s="579" t="s">
        <v>426</v>
      </c>
      <c r="C103" s="573"/>
      <c r="D103" s="574"/>
      <c r="E103" s="524">
        <f t="shared" si="37"/>
        <v>9.301271499999999</v>
      </c>
      <c r="F103" s="575">
        <v>2.67</v>
      </c>
      <c r="G103" s="524">
        <f>SUM(H103:W103)</f>
        <v>5.959899999999999</v>
      </c>
      <c r="H103" s="524">
        <v>0.7</v>
      </c>
      <c r="I103" s="524"/>
      <c r="J103" s="527"/>
      <c r="K103" s="524">
        <f>0.5*(F103+I103)</f>
        <v>1.335</v>
      </c>
      <c r="L103" s="524">
        <f>0.7*(F103+I103)</f>
        <v>1.8689999999999998</v>
      </c>
      <c r="M103" s="524">
        <f>0.07*F103</f>
        <v>0.1869</v>
      </c>
      <c r="N103" s="524">
        <f>0.7*(F103+I103)</f>
        <v>1.8689999999999998</v>
      </c>
      <c r="O103" s="527"/>
      <c r="P103" s="527"/>
      <c r="Q103" s="524"/>
      <c r="R103" s="527"/>
      <c r="S103" s="576"/>
      <c r="T103" s="527"/>
      <c r="U103" s="527"/>
      <c r="V103" s="527"/>
      <c r="W103" s="527"/>
      <c r="X103" s="524">
        <f>(F103+I103+J103+M103+U103)*23.5%</f>
        <v>0.6713715</v>
      </c>
      <c r="Y103" s="528">
        <f>E103*1490000*12</f>
        <v>166306734.42</v>
      </c>
      <c r="Z103" s="577"/>
      <c r="AA103" s="578"/>
      <c r="AB103" s="578"/>
      <c r="AC103" s="578"/>
      <c r="AD103" s="578"/>
    </row>
    <row r="104" spans="1:30" ht="15">
      <c r="A104" s="571">
        <v>12</v>
      </c>
      <c r="B104" s="579" t="s">
        <v>427</v>
      </c>
      <c r="C104" s="573"/>
      <c r="D104" s="574"/>
      <c r="E104" s="524">
        <f t="shared" si="37"/>
        <v>7.7851</v>
      </c>
      <c r="F104" s="575">
        <v>2.26</v>
      </c>
      <c r="G104" s="524">
        <f>SUM(H104:W104)</f>
        <v>4.994</v>
      </c>
      <c r="H104" s="524">
        <v>0.7</v>
      </c>
      <c r="I104" s="524"/>
      <c r="J104" s="527"/>
      <c r="K104" s="524">
        <f>0.5*(F104+I104)</f>
        <v>1.13</v>
      </c>
      <c r="L104" s="524">
        <f>0.7*(F104+I104)</f>
        <v>1.5819999999999999</v>
      </c>
      <c r="M104" s="524"/>
      <c r="N104" s="524">
        <f>0.7*(F104+I104)</f>
        <v>1.5819999999999999</v>
      </c>
      <c r="O104" s="527"/>
      <c r="P104" s="527"/>
      <c r="Q104" s="524"/>
      <c r="R104" s="527"/>
      <c r="S104" s="576"/>
      <c r="T104" s="527"/>
      <c r="U104" s="527"/>
      <c r="V104" s="527"/>
      <c r="W104" s="527"/>
      <c r="X104" s="524">
        <f>(F104+I104+J104+M104+U104)*23.5%</f>
        <v>0.5310999999999999</v>
      </c>
      <c r="Y104" s="528">
        <f>E104*1490000*12</f>
        <v>139197588</v>
      </c>
      <c r="Z104" s="577"/>
      <c r="AA104" s="578"/>
      <c r="AB104" s="578"/>
      <c r="AC104" s="578"/>
      <c r="AD104" s="578"/>
    </row>
    <row r="105" spans="1:30" ht="15">
      <c r="A105" s="571">
        <v>13</v>
      </c>
      <c r="B105" s="579" t="s">
        <v>428</v>
      </c>
      <c r="C105" s="573"/>
      <c r="D105" s="574"/>
      <c r="E105" s="524">
        <f t="shared" si="37"/>
        <v>8.594386</v>
      </c>
      <c r="F105" s="575">
        <v>2.46</v>
      </c>
      <c r="G105" s="524">
        <f>SUM(H105:W105)</f>
        <v>5.5216</v>
      </c>
      <c r="H105" s="524">
        <v>0.7</v>
      </c>
      <c r="I105" s="524"/>
      <c r="J105" s="527"/>
      <c r="K105" s="524">
        <f>0.5*(F105+I105)</f>
        <v>1.23</v>
      </c>
      <c r="L105" s="524">
        <f>0.7*(F105+I105)</f>
        <v>1.722</v>
      </c>
      <c r="M105" s="524">
        <f>0.06*F105</f>
        <v>0.14759999999999998</v>
      </c>
      <c r="N105" s="524">
        <f>0.7*(F105+I105)</f>
        <v>1.722</v>
      </c>
      <c r="O105" s="527"/>
      <c r="P105" s="527"/>
      <c r="Q105" s="524"/>
      <c r="R105" s="527"/>
      <c r="S105" s="576"/>
      <c r="T105" s="527"/>
      <c r="U105" s="527"/>
      <c r="V105" s="527"/>
      <c r="W105" s="527"/>
      <c r="X105" s="524">
        <f>(F105+I105+J105+M105+U105)*23.5%</f>
        <v>0.612786</v>
      </c>
      <c r="Y105" s="528">
        <f>E105*1490000*12</f>
        <v>153667621.68</v>
      </c>
      <c r="Z105" s="577"/>
      <c r="AA105" s="578"/>
      <c r="AB105" s="578"/>
      <c r="AC105" s="578"/>
      <c r="AD105" s="578"/>
    </row>
    <row r="106" spans="1:30" ht="15">
      <c r="A106" s="571">
        <v>14</v>
      </c>
      <c r="B106" s="579" t="s">
        <v>429</v>
      </c>
      <c r="C106" s="573"/>
      <c r="D106" s="574"/>
      <c r="E106" s="524">
        <f t="shared" si="37"/>
        <v>9.7715215</v>
      </c>
      <c r="F106" s="575">
        <v>2.67</v>
      </c>
      <c r="G106" s="524">
        <f t="shared" si="38"/>
        <v>6.3949</v>
      </c>
      <c r="H106" s="524">
        <v>0.7</v>
      </c>
      <c r="I106" s="524">
        <v>0.15</v>
      </c>
      <c r="J106" s="527"/>
      <c r="K106" s="524">
        <f t="shared" si="39"/>
        <v>1.41</v>
      </c>
      <c r="L106" s="524">
        <f t="shared" si="42"/>
        <v>1.9739999999999998</v>
      </c>
      <c r="M106" s="524">
        <f>0.07*F106</f>
        <v>0.1869</v>
      </c>
      <c r="N106" s="524">
        <f t="shared" si="40"/>
        <v>1.9739999999999998</v>
      </c>
      <c r="O106" s="527"/>
      <c r="P106" s="527"/>
      <c r="Q106" s="524"/>
      <c r="R106" s="527"/>
      <c r="S106" s="576"/>
      <c r="T106" s="527"/>
      <c r="U106" s="527"/>
      <c r="V106" s="527"/>
      <c r="W106" s="527"/>
      <c r="X106" s="524">
        <f t="shared" si="41"/>
        <v>0.7066214999999999</v>
      </c>
      <c r="Y106" s="528">
        <f t="shared" si="36"/>
        <v>174714804.42000002</v>
      </c>
      <c r="Z106" s="577"/>
      <c r="AA106" s="578"/>
      <c r="AB106" s="578"/>
      <c r="AC106" s="578"/>
      <c r="AD106" s="578"/>
    </row>
    <row r="107" spans="1:30" ht="15">
      <c r="A107" s="571">
        <v>15</v>
      </c>
      <c r="B107" s="579" t="s">
        <v>430</v>
      </c>
      <c r="C107" s="573"/>
      <c r="D107" s="574"/>
      <c r="E107" s="524">
        <f t="shared" si="37"/>
        <v>7.7851</v>
      </c>
      <c r="F107" s="575">
        <v>2.26</v>
      </c>
      <c r="G107" s="524">
        <f t="shared" si="38"/>
        <v>4.994</v>
      </c>
      <c r="H107" s="524">
        <v>0.7</v>
      </c>
      <c r="I107" s="524"/>
      <c r="J107" s="527"/>
      <c r="K107" s="524">
        <f t="shared" si="39"/>
        <v>1.13</v>
      </c>
      <c r="L107" s="524">
        <f t="shared" si="42"/>
        <v>1.5819999999999999</v>
      </c>
      <c r="M107" s="524"/>
      <c r="N107" s="524">
        <f t="shared" si="40"/>
        <v>1.5819999999999999</v>
      </c>
      <c r="O107" s="527"/>
      <c r="P107" s="527"/>
      <c r="Q107" s="524"/>
      <c r="R107" s="527"/>
      <c r="S107" s="576"/>
      <c r="T107" s="527"/>
      <c r="U107" s="527"/>
      <c r="V107" s="527"/>
      <c r="W107" s="527"/>
      <c r="X107" s="524">
        <f t="shared" si="41"/>
        <v>0.5310999999999999</v>
      </c>
      <c r="Y107" s="528">
        <f t="shared" si="36"/>
        <v>139197588</v>
      </c>
      <c r="Z107" s="577"/>
      <c r="AA107" s="578"/>
      <c r="AB107" s="578"/>
      <c r="AC107" s="578"/>
      <c r="AD107" s="578"/>
    </row>
    <row r="108" spans="1:30" ht="15">
      <c r="A108" s="571">
        <v>16</v>
      </c>
      <c r="B108" s="579" t="s">
        <v>431</v>
      </c>
      <c r="C108" s="573"/>
      <c r="D108" s="574"/>
      <c r="E108" s="524">
        <f t="shared" si="37"/>
        <v>8.0359</v>
      </c>
      <c r="F108" s="575">
        <v>2.34</v>
      </c>
      <c r="G108" s="524">
        <f t="shared" si="38"/>
        <v>5.146</v>
      </c>
      <c r="H108" s="524">
        <v>0.7</v>
      </c>
      <c r="I108" s="524"/>
      <c r="J108" s="527"/>
      <c r="K108" s="524">
        <f t="shared" si="39"/>
        <v>1.17</v>
      </c>
      <c r="L108" s="524">
        <f t="shared" si="42"/>
        <v>1.638</v>
      </c>
      <c r="M108" s="524"/>
      <c r="N108" s="524">
        <f t="shared" si="40"/>
        <v>1.638</v>
      </c>
      <c r="O108" s="527"/>
      <c r="P108" s="527"/>
      <c r="Q108" s="524"/>
      <c r="R108" s="527"/>
      <c r="S108" s="576"/>
      <c r="T108" s="527"/>
      <c r="U108" s="527"/>
      <c r="V108" s="527"/>
      <c r="W108" s="527"/>
      <c r="X108" s="524">
        <f t="shared" si="41"/>
        <v>0.5498999999999999</v>
      </c>
      <c r="Y108" s="528">
        <f t="shared" si="36"/>
        <v>143681892</v>
      </c>
      <c r="Z108" s="577"/>
      <c r="AA108" s="578"/>
      <c r="AB108" s="578"/>
      <c r="AC108" s="578"/>
      <c r="AD108" s="578"/>
    </row>
    <row r="109" spans="1:30" ht="15">
      <c r="A109" s="571">
        <v>17</v>
      </c>
      <c r="B109" s="579" t="s">
        <v>432</v>
      </c>
      <c r="C109" s="573"/>
      <c r="D109" s="574"/>
      <c r="E109" s="524">
        <f t="shared" si="37"/>
        <v>9.268296999999999</v>
      </c>
      <c r="F109" s="544">
        <v>2.67</v>
      </c>
      <c r="G109" s="524">
        <f t="shared" si="38"/>
        <v>5.933199999999999</v>
      </c>
      <c r="H109" s="524">
        <v>0.7</v>
      </c>
      <c r="I109" s="545"/>
      <c r="J109" s="527"/>
      <c r="K109" s="524">
        <f t="shared" si="39"/>
        <v>1.335</v>
      </c>
      <c r="L109" s="524">
        <f t="shared" si="42"/>
        <v>1.8689999999999998</v>
      </c>
      <c r="M109" s="524">
        <f>0.06*F109</f>
        <v>0.16019999999999998</v>
      </c>
      <c r="N109" s="524">
        <f t="shared" si="40"/>
        <v>1.8689999999999998</v>
      </c>
      <c r="O109" s="527"/>
      <c r="P109" s="527"/>
      <c r="Q109" s="545"/>
      <c r="R109" s="527"/>
      <c r="S109" s="576"/>
      <c r="T109" s="527"/>
      <c r="U109" s="545"/>
      <c r="V109" s="545"/>
      <c r="W109" s="527"/>
      <c r="X109" s="524">
        <f t="shared" si="41"/>
        <v>0.6650969999999999</v>
      </c>
      <c r="Y109" s="528">
        <f t="shared" si="36"/>
        <v>165717150.35999995</v>
      </c>
      <c r="Z109" s="577"/>
      <c r="AA109" s="578"/>
      <c r="AB109" s="578"/>
      <c r="AC109" s="578"/>
      <c r="AD109" s="578"/>
    </row>
    <row r="110" spans="1:30" ht="15">
      <c r="A110" s="571">
        <v>18</v>
      </c>
      <c r="B110" s="579" t="s">
        <v>433</v>
      </c>
      <c r="C110" s="573"/>
      <c r="D110" s="574"/>
      <c r="E110" s="524">
        <f t="shared" si="37"/>
        <v>9.895297</v>
      </c>
      <c r="F110" s="544">
        <v>2.67</v>
      </c>
      <c r="G110" s="524">
        <f t="shared" si="38"/>
        <v>6.513199999999999</v>
      </c>
      <c r="H110" s="524">
        <v>0.7</v>
      </c>
      <c r="I110" s="524">
        <v>0.2</v>
      </c>
      <c r="J110" s="527"/>
      <c r="K110" s="524">
        <f t="shared" si="39"/>
        <v>1.435</v>
      </c>
      <c r="L110" s="524">
        <f t="shared" si="42"/>
        <v>2.009</v>
      </c>
      <c r="M110" s="524">
        <f>0.06*F110</f>
        <v>0.16019999999999998</v>
      </c>
      <c r="N110" s="524">
        <f t="shared" si="40"/>
        <v>2.009</v>
      </c>
      <c r="O110" s="527"/>
      <c r="P110" s="527"/>
      <c r="Q110" s="545"/>
      <c r="R110" s="527"/>
      <c r="S110" s="576"/>
      <c r="T110" s="527"/>
      <c r="U110" s="545"/>
      <c r="V110" s="545"/>
      <c r="W110" s="527"/>
      <c r="X110" s="524">
        <f t="shared" si="41"/>
        <v>0.712097</v>
      </c>
      <c r="Y110" s="528">
        <f t="shared" si="36"/>
        <v>176927910.35999998</v>
      </c>
      <c r="Z110" s="577"/>
      <c r="AA110" s="578"/>
      <c r="AB110" s="578"/>
      <c r="AC110" s="578"/>
      <c r="AD110" s="578"/>
    </row>
    <row r="111" spans="1:30" ht="15">
      <c r="A111" s="571">
        <v>19</v>
      </c>
      <c r="B111" s="579" t="s">
        <v>434</v>
      </c>
      <c r="C111" s="573"/>
      <c r="D111" s="574"/>
      <c r="E111" s="524">
        <f t="shared" si="37"/>
        <v>7.158099999999999</v>
      </c>
      <c r="F111" s="544">
        <v>2.06</v>
      </c>
      <c r="G111" s="524">
        <f t="shared" si="38"/>
        <v>4.614</v>
      </c>
      <c r="H111" s="524">
        <v>0.7</v>
      </c>
      <c r="I111" s="524"/>
      <c r="J111" s="527"/>
      <c r="K111" s="524">
        <f t="shared" si="39"/>
        <v>1.03</v>
      </c>
      <c r="L111" s="524">
        <f>(F111+I111)*70%</f>
        <v>1.442</v>
      </c>
      <c r="M111" s="524"/>
      <c r="N111" s="524">
        <f t="shared" si="40"/>
        <v>1.442</v>
      </c>
      <c r="O111" s="527"/>
      <c r="P111" s="527"/>
      <c r="Q111" s="545"/>
      <c r="R111" s="527"/>
      <c r="S111" s="576"/>
      <c r="T111" s="527"/>
      <c r="U111" s="545"/>
      <c r="V111" s="545"/>
      <c r="W111" s="527"/>
      <c r="X111" s="524">
        <f t="shared" si="41"/>
        <v>0.4841</v>
      </c>
      <c r="Y111" s="528">
        <f t="shared" si="36"/>
        <v>127986827.99999997</v>
      </c>
      <c r="Z111" s="577"/>
      <c r="AA111" s="578"/>
      <c r="AB111" s="578"/>
      <c r="AC111" s="578"/>
      <c r="AD111" s="578"/>
    </row>
    <row r="112" spans="1:30" ht="15">
      <c r="A112" s="582"/>
      <c r="B112" s="543"/>
      <c r="C112" s="565"/>
      <c r="D112" s="566"/>
      <c r="E112" s="552"/>
      <c r="F112" s="552"/>
      <c r="G112" s="552"/>
      <c r="H112" s="552"/>
      <c r="I112" s="552"/>
      <c r="J112" s="552"/>
      <c r="K112" s="552"/>
      <c r="L112" s="552"/>
      <c r="M112" s="515"/>
      <c r="N112" s="552"/>
      <c r="O112" s="552"/>
      <c r="P112" s="552"/>
      <c r="Q112" s="552"/>
      <c r="R112" s="552"/>
      <c r="S112" s="552"/>
      <c r="T112" s="552"/>
      <c r="U112" s="552"/>
      <c r="V112" s="552"/>
      <c r="W112" s="552"/>
      <c r="X112" s="552"/>
      <c r="Y112" s="552"/>
      <c r="Z112" s="19"/>
      <c r="AA112" s="17"/>
      <c r="AB112" s="17"/>
      <c r="AC112" s="17"/>
      <c r="AD112" s="17"/>
    </row>
    <row r="113" spans="1:30" ht="15">
      <c r="A113" s="583"/>
      <c r="B113" s="584" t="s">
        <v>435</v>
      </c>
      <c r="C113" s="585"/>
      <c r="D113" s="586"/>
      <c r="E113" s="587">
        <f>SUM(E114:E125)</f>
        <v>48.252950000000006</v>
      </c>
      <c r="F113" s="587">
        <f aca="true" t="shared" si="43" ref="F113:X113">SUM(F114:F125)</f>
        <v>22.72</v>
      </c>
      <c r="G113" s="587">
        <f t="shared" si="43"/>
        <v>20.134999999999994</v>
      </c>
      <c r="H113" s="587">
        <f t="shared" si="43"/>
        <v>8.4</v>
      </c>
      <c r="I113" s="587">
        <f t="shared" si="43"/>
        <v>0.25</v>
      </c>
      <c r="J113" s="587">
        <f t="shared" si="43"/>
        <v>0</v>
      </c>
      <c r="K113" s="587">
        <f t="shared" si="43"/>
        <v>11.485</v>
      </c>
      <c r="L113" s="587">
        <f t="shared" si="43"/>
        <v>0</v>
      </c>
      <c r="M113" s="587">
        <f t="shared" si="43"/>
        <v>0</v>
      </c>
      <c r="N113" s="587">
        <f t="shared" si="43"/>
        <v>0</v>
      </c>
      <c r="O113" s="587">
        <f t="shared" si="43"/>
        <v>0</v>
      </c>
      <c r="P113" s="587">
        <f t="shared" si="43"/>
        <v>0</v>
      </c>
      <c r="Q113" s="587">
        <f t="shared" si="43"/>
        <v>0</v>
      </c>
      <c r="R113" s="587">
        <f t="shared" si="43"/>
        <v>0</v>
      </c>
      <c r="S113" s="587">
        <f t="shared" si="43"/>
        <v>0</v>
      </c>
      <c r="T113" s="587">
        <f t="shared" si="43"/>
        <v>0</v>
      </c>
      <c r="U113" s="587">
        <f t="shared" si="43"/>
        <v>0</v>
      </c>
      <c r="V113" s="587">
        <f t="shared" si="43"/>
        <v>0</v>
      </c>
      <c r="W113" s="587">
        <f t="shared" si="43"/>
        <v>0</v>
      </c>
      <c r="X113" s="587">
        <f t="shared" si="43"/>
        <v>5.39795</v>
      </c>
      <c r="Y113" s="587">
        <f>SUM(Y114:Y125)</f>
        <v>862762746</v>
      </c>
      <c r="Z113" s="21"/>
      <c r="AA113" s="20"/>
      <c r="AB113" s="20"/>
      <c r="AC113" s="20"/>
      <c r="AD113" s="20"/>
    </row>
    <row r="114" spans="1:30" ht="15">
      <c r="A114" s="567">
        <v>1</v>
      </c>
      <c r="B114" s="588" t="s">
        <v>436</v>
      </c>
      <c r="C114" s="568"/>
      <c r="D114" s="569"/>
      <c r="E114" s="524">
        <f aca="true" t="shared" si="44" ref="E114:E125">F114+G114+X114</f>
        <v>3.9271000000000003</v>
      </c>
      <c r="F114" s="544">
        <v>1.86</v>
      </c>
      <c r="G114" s="524">
        <f aca="true" t="shared" si="45" ref="G114:G125">SUM(H114:W114)</f>
        <v>1.63</v>
      </c>
      <c r="H114" s="524">
        <v>0.7</v>
      </c>
      <c r="I114" s="524"/>
      <c r="J114" s="527"/>
      <c r="K114" s="524">
        <f aca="true" t="shared" si="46" ref="K114:K125">0.5*(F114+I114)</f>
        <v>0.93</v>
      </c>
      <c r="L114" s="524"/>
      <c r="M114" s="524"/>
      <c r="N114" s="524"/>
      <c r="O114" s="527"/>
      <c r="P114" s="527"/>
      <c r="Q114" s="545"/>
      <c r="R114" s="527"/>
      <c r="S114" s="576"/>
      <c r="T114" s="527"/>
      <c r="U114" s="545"/>
      <c r="V114" s="545"/>
      <c r="W114" s="527"/>
      <c r="X114" s="524">
        <f aca="true" t="shared" si="47" ref="X114:X125">(F114+I114+J114+M114+U114)*23.5%</f>
        <v>0.4371</v>
      </c>
      <c r="Y114" s="528">
        <f aca="true" t="shared" si="48" ref="Y114:Y125">E114*1490000*12</f>
        <v>70216548</v>
      </c>
      <c r="Z114" s="18"/>
      <c r="AA114" s="17"/>
      <c r="AB114" s="17"/>
      <c r="AC114" s="17"/>
      <c r="AD114" s="17"/>
    </row>
    <row r="115" spans="1:30" ht="15">
      <c r="A115" s="567">
        <v>2</v>
      </c>
      <c r="B115" s="588" t="s">
        <v>437</v>
      </c>
      <c r="C115" s="568"/>
      <c r="D115" s="569"/>
      <c r="E115" s="524">
        <f t="shared" si="44"/>
        <v>4.1006</v>
      </c>
      <c r="F115" s="544">
        <v>1.86</v>
      </c>
      <c r="G115" s="524">
        <f t="shared" si="45"/>
        <v>1.78</v>
      </c>
      <c r="H115" s="524">
        <v>0.7</v>
      </c>
      <c r="I115" s="524">
        <v>0.1</v>
      </c>
      <c r="J115" s="527"/>
      <c r="K115" s="524">
        <f t="shared" si="46"/>
        <v>0.9800000000000001</v>
      </c>
      <c r="L115" s="524"/>
      <c r="M115" s="524"/>
      <c r="N115" s="524"/>
      <c r="O115" s="527"/>
      <c r="P115" s="527"/>
      <c r="Q115" s="545"/>
      <c r="R115" s="527"/>
      <c r="S115" s="576"/>
      <c r="T115" s="527"/>
      <c r="U115" s="545"/>
      <c r="V115" s="545"/>
      <c r="W115" s="527"/>
      <c r="X115" s="524">
        <f t="shared" si="47"/>
        <v>0.4606</v>
      </c>
      <c r="Y115" s="528">
        <f t="shared" si="48"/>
        <v>73318728</v>
      </c>
      <c r="Z115" s="18"/>
      <c r="AA115" s="17"/>
      <c r="AB115" s="17"/>
      <c r="AC115" s="17"/>
      <c r="AD115" s="17"/>
    </row>
    <row r="116" spans="1:30" ht="15">
      <c r="A116" s="567">
        <v>3</v>
      </c>
      <c r="B116" s="588" t="s">
        <v>438</v>
      </c>
      <c r="C116" s="568"/>
      <c r="D116" s="569"/>
      <c r="E116" s="524">
        <f t="shared" si="44"/>
        <v>4.18735</v>
      </c>
      <c r="F116" s="544">
        <v>1.86</v>
      </c>
      <c r="G116" s="524">
        <f t="shared" si="45"/>
        <v>1.855</v>
      </c>
      <c r="H116" s="524">
        <v>0.7</v>
      </c>
      <c r="I116" s="524">
        <v>0.15</v>
      </c>
      <c r="J116" s="527"/>
      <c r="K116" s="524">
        <f t="shared" si="46"/>
        <v>1.0050000000000001</v>
      </c>
      <c r="L116" s="524"/>
      <c r="M116" s="524"/>
      <c r="N116" s="524"/>
      <c r="O116" s="527"/>
      <c r="P116" s="527"/>
      <c r="Q116" s="545"/>
      <c r="R116" s="527"/>
      <c r="S116" s="576"/>
      <c r="T116" s="527"/>
      <c r="U116" s="545"/>
      <c r="V116" s="545"/>
      <c r="W116" s="527"/>
      <c r="X116" s="524">
        <f t="shared" si="47"/>
        <v>0.47235000000000005</v>
      </c>
      <c r="Y116" s="528">
        <f t="shared" si="48"/>
        <v>74869818.00000001</v>
      </c>
      <c r="Z116" s="18"/>
      <c r="AA116" s="17"/>
      <c r="AB116" s="17"/>
      <c r="AC116" s="17"/>
      <c r="AD116" s="17"/>
    </row>
    <row r="117" spans="1:30" ht="15">
      <c r="A117" s="567">
        <v>4</v>
      </c>
      <c r="B117" s="588" t="s">
        <v>439</v>
      </c>
      <c r="C117" s="568"/>
      <c r="D117" s="569"/>
      <c r="E117" s="524">
        <f t="shared" si="44"/>
        <v>3.9271000000000003</v>
      </c>
      <c r="F117" s="544">
        <v>1.86</v>
      </c>
      <c r="G117" s="524">
        <f t="shared" si="45"/>
        <v>1.63</v>
      </c>
      <c r="H117" s="524">
        <v>0.7</v>
      </c>
      <c r="I117" s="524"/>
      <c r="J117" s="527"/>
      <c r="K117" s="524">
        <f t="shared" si="46"/>
        <v>0.93</v>
      </c>
      <c r="L117" s="524"/>
      <c r="M117" s="524"/>
      <c r="N117" s="524"/>
      <c r="O117" s="527"/>
      <c r="P117" s="527"/>
      <c r="Q117" s="545"/>
      <c r="R117" s="527"/>
      <c r="S117" s="576"/>
      <c r="T117" s="527"/>
      <c r="U117" s="545"/>
      <c r="V117" s="545"/>
      <c r="W117" s="527"/>
      <c r="X117" s="524">
        <f t="shared" si="47"/>
        <v>0.4371</v>
      </c>
      <c r="Y117" s="528">
        <f t="shared" si="48"/>
        <v>70216548</v>
      </c>
      <c r="Z117" s="18"/>
      <c r="AA117" s="17"/>
      <c r="AB117" s="17"/>
      <c r="AC117" s="17"/>
      <c r="AD117" s="17"/>
    </row>
    <row r="118" spans="1:30" ht="15">
      <c r="A118" s="567">
        <v>5</v>
      </c>
      <c r="B118" s="588" t="s">
        <v>440</v>
      </c>
      <c r="C118" s="568"/>
      <c r="D118" s="569"/>
      <c r="E118" s="524">
        <f t="shared" si="44"/>
        <v>3.9271000000000003</v>
      </c>
      <c r="F118" s="544">
        <v>1.86</v>
      </c>
      <c r="G118" s="524">
        <f t="shared" si="45"/>
        <v>1.63</v>
      </c>
      <c r="H118" s="524">
        <v>0.7</v>
      </c>
      <c r="I118" s="524"/>
      <c r="J118" s="527"/>
      <c r="K118" s="524">
        <f t="shared" si="46"/>
        <v>0.93</v>
      </c>
      <c r="L118" s="524"/>
      <c r="M118" s="524"/>
      <c r="N118" s="524"/>
      <c r="O118" s="527"/>
      <c r="P118" s="527"/>
      <c r="Q118" s="545"/>
      <c r="R118" s="527"/>
      <c r="S118" s="576"/>
      <c r="T118" s="527"/>
      <c r="U118" s="545"/>
      <c r="V118" s="545"/>
      <c r="W118" s="527"/>
      <c r="X118" s="524">
        <f t="shared" si="47"/>
        <v>0.4371</v>
      </c>
      <c r="Y118" s="528">
        <f t="shared" si="48"/>
        <v>70216548</v>
      </c>
      <c r="Z118" s="18"/>
      <c r="AA118" s="17"/>
      <c r="AB118" s="17"/>
      <c r="AC118" s="17"/>
      <c r="AD118" s="17"/>
    </row>
    <row r="119" spans="1:30" ht="15">
      <c r="A119" s="567">
        <v>6</v>
      </c>
      <c r="B119" s="588" t="s">
        <v>441</v>
      </c>
      <c r="C119" s="568"/>
      <c r="D119" s="569"/>
      <c r="E119" s="524">
        <f t="shared" si="44"/>
        <v>3.9271000000000003</v>
      </c>
      <c r="F119" s="544">
        <v>1.86</v>
      </c>
      <c r="G119" s="524">
        <f t="shared" si="45"/>
        <v>1.63</v>
      </c>
      <c r="H119" s="524">
        <v>0.7</v>
      </c>
      <c r="I119" s="524"/>
      <c r="J119" s="527"/>
      <c r="K119" s="524">
        <f t="shared" si="46"/>
        <v>0.93</v>
      </c>
      <c r="L119" s="524"/>
      <c r="M119" s="524"/>
      <c r="N119" s="524"/>
      <c r="O119" s="527"/>
      <c r="P119" s="527"/>
      <c r="Q119" s="545"/>
      <c r="R119" s="527"/>
      <c r="S119" s="576"/>
      <c r="T119" s="527"/>
      <c r="U119" s="545"/>
      <c r="V119" s="545"/>
      <c r="W119" s="527"/>
      <c r="X119" s="524">
        <f t="shared" si="47"/>
        <v>0.4371</v>
      </c>
      <c r="Y119" s="528">
        <f t="shared" si="48"/>
        <v>70216548</v>
      </c>
      <c r="Z119" s="18"/>
      <c r="AA119" s="17"/>
      <c r="AB119" s="17"/>
      <c r="AC119" s="17"/>
      <c r="AD119" s="17"/>
    </row>
    <row r="120" spans="1:30" ht="15">
      <c r="A120" s="567">
        <v>7</v>
      </c>
      <c r="B120" s="588" t="s">
        <v>442</v>
      </c>
      <c r="C120" s="568"/>
      <c r="D120" s="569"/>
      <c r="E120" s="524">
        <f t="shared" si="44"/>
        <v>3.9271000000000003</v>
      </c>
      <c r="F120" s="544">
        <v>1.86</v>
      </c>
      <c r="G120" s="524">
        <f t="shared" si="45"/>
        <v>1.63</v>
      </c>
      <c r="H120" s="524">
        <v>0.7</v>
      </c>
      <c r="I120" s="524"/>
      <c r="J120" s="527"/>
      <c r="K120" s="524">
        <f t="shared" si="46"/>
        <v>0.93</v>
      </c>
      <c r="L120" s="524"/>
      <c r="M120" s="524"/>
      <c r="N120" s="524"/>
      <c r="O120" s="527"/>
      <c r="P120" s="527"/>
      <c r="Q120" s="545"/>
      <c r="R120" s="527"/>
      <c r="S120" s="576"/>
      <c r="T120" s="527"/>
      <c r="U120" s="545"/>
      <c r="V120" s="545"/>
      <c r="W120" s="527"/>
      <c r="X120" s="524">
        <f t="shared" si="47"/>
        <v>0.4371</v>
      </c>
      <c r="Y120" s="528">
        <f t="shared" si="48"/>
        <v>70216548</v>
      </c>
      <c r="Z120" s="18"/>
      <c r="AA120" s="17"/>
      <c r="AB120" s="17"/>
      <c r="AC120" s="17"/>
      <c r="AD120" s="17"/>
    </row>
    <row r="121" spans="1:30" ht="15">
      <c r="A121" s="567">
        <v>8</v>
      </c>
      <c r="B121" s="588" t="s">
        <v>443</v>
      </c>
      <c r="C121" s="568"/>
      <c r="D121" s="569"/>
      <c r="E121" s="524">
        <f t="shared" si="44"/>
        <v>3.9271000000000003</v>
      </c>
      <c r="F121" s="544">
        <v>1.86</v>
      </c>
      <c r="G121" s="524">
        <f t="shared" si="45"/>
        <v>1.63</v>
      </c>
      <c r="H121" s="524">
        <v>0.7</v>
      </c>
      <c r="I121" s="524"/>
      <c r="J121" s="527"/>
      <c r="K121" s="524">
        <f t="shared" si="46"/>
        <v>0.93</v>
      </c>
      <c r="L121" s="524"/>
      <c r="M121" s="524"/>
      <c r="N121" s="524"/>
      <c r="O121" s="527"/>
      <c r="P121" s="527"/>
      <c r="Q121" s="545"/>
      <c r="R121" s="527"/>
      <c r="S121" s="576"/>
      <c r="T121" s="527"/>
      <c r="U121" s="545"/>
      <c r="V121" s="545"/>
      <c r="W121" s="527"/>
      <c r="X121" s="524">
        <f t="shared" si="47"/>
        <v>0.4371</v>
      </c>
      <c r="Y121" s="528">
        <f t="shared" si="48"/>
        <v>70216548</v>
      </c>
      <c r="Z121" s="18"/>
      <c r="AA121" s="17"/>
      <c r="AB121" s="17"/>
      <c r="AC121" s="17"/>
      <c r="AD121" s="17"/>
    </row>
    <row r="122" spans="1:30" ht="15">
      <c r="A122" s="567">
        <v>9</v>
      </c>
      <c r="B122" s="588" t="s">
        <v>444</v>
      </c>
      <c r="C122" s="568"/>
      <c r="D122" s="569"/>
      <c r="E122" s="524">
        <f t="shared" si="44"/>
        <v>3.9271000000000003</v>
      </c>
      <c r="F122" s="544">
        <v>1.86</v>
      </c>
      <c r="G122" s="524">
        <f t="shared" si="45"/>
        <v>1.63</v>
      </c>
      <c r="H122" s="524">
        <v>0.7</v>
      </c>
      <c r="I122" s="524"/>
      <c r="J122" s="527"/>
      <c r="K122" s="524">
        <f t="shared" si="46"/>
        <v>0.93</v>
      </c>
      <c r="L122" s="524"/>
      <c r="M122" s="524"/>
      <c r="N122" s="524"/>
      <c r="O122" s="527"/>
      <c r="P122" s="527"/>
      <c r="Q122" s="545"/>
      <c r="R122" s="527"/>
      <c r="S122" s="576"/>
      <c r="T122" s="527"/>
      <c r="U122" s="545"/>
      <c r="V122" s="545"/>
      <c r="W122" s="527"/>
      <c r="X122" s="524">
        <f t="shared" si="47"/>
        <v>0.4371</v>
      </c>
      <c r="Y122" s="528">
        <f t="shared" si="48"/>
        <v>70216548</v>
      </c>
      <c r="Z122" s="18"/>
      <c r="AA122" s="17"/>
      <c r="AB122" s="17"/>
      <c r="AC122" s="17"/>
      <c r="AD122" s="17"/>
    </row>
    <row r="123" spans="1:30" ht="15">
      <c r="A123" s="567">
        <v>10</v>
      </c>
      <c r="B123" s="588" t="s">
        <v>445</v>
      </c>
      <c r="C123" s="568"/>
      <c r="D123" s="569"/>
      <c r="E123" s="524">
        <f t="shared" si="44"/>
        <v>3.9271000000000003</v>
      </c>
      <c r="F123" s="544">
        <v>1.86</v>
      </c>
      <c r="G123" s="524">
        <f t="shared" si="45"/>
        <v>1.63</v>
      </c>
      <c r="H123" s="524">
        <v>0.7</v>
      </c>
      <c r="I123" s="524"/>
      <c r="J123" s="527"/>
      <c r="K123" s="524">
        <f t="shared" si="46"/>
        <v>0.93</v>
      </c>
      <c r="L123" s="524"/>
      <c r="M123" s="524"/>
      <c r="N123" s="524"/>
      <c r="O123" s="527"/>
      <c r="P123" s="527"/>
      <c r="Q123" s="545"/>
      <c r="R123" s="527"/>
      <c r="S123" s="576"/>
      <c r="T123" s="527"/>
      <c r="U123" s="545"/>
      <c r="V123" s="545"/>
      <c r="W123" s="527"/>
      <c r="X123" s="524">
        <f t="shared" si="47"/>
        <v>0.4371</v>
      </c>
      <c r="Y123" s="528">
        <f t="shared" si="48"/>
        <v>70216548</v>
      </c>
      <c r="Z123" s="18"/>
      <c r="AA123" s="17"/>
      <c r="AB123" s="17"/>
      <c r="AC123" s="17"/>
      <c r="AD123" s="17"/>
    </row>
    <row r="124" spans="1:30" ht="15">
      <c r="A124" s="567">
        <v>11</v>
      </c>
      <c r="B124" s="588" t="s">
        <v>446</v>
      </c>
      <c r="C124" s="568"/>
      <c r="D124" s="569"/>
      <c r="E124" s="524">
        <f t="shared" si="44"/>
        <v>3.9271000000000003</v>
      </c>
      <c r="F124" s="544">
        <v>1.86</v>
      </c>
      <c r="G124" s="524">
        <f t="shared" si="45"/>
        <v>1.63</v>
      </c>
      <c r="H124" s="524">
        <v>0.7</v>
      </c>
      <c r="I124" s="524"/>
      <c r="J124" s="527"/>
      <c r="K124" s="524">
        <f t="shared" si="46"/>
        <v>0.93</v>
      </c>
      <c r="L124" s="524"/>
      <c r="M124" s="524"/>
      <c r="N124" s="524"/>
      <c r="O124" s="527"/>
      <c r="P124" s="527"/>
      <c r="Q124" s="545"/>
      <c r="R124" s="527"/>
      <c r="S124" s="576"/>
      <c r="T124" s="527"/>
      <c r="U124" s="545"/>
      <c r="V124" s="545"/>
      <c r="W124" s="527"/>
      <c r="X124" s="524">
        <f t="shared" si="47"/>
        <v>0.4371</v>
      </c>
      <c r="Y124" s="528">
        <f t="shared" si="48"/>
        <v>70216548</v>
      </c>
      <c r="Z124" s="18"/>
      <c r="AA124" s="17"/>
      <c r="AB124" s="17"/>
      <c r="AC124" s="17"/>
      <c r="AD124" s="17"/>
    </row>
    <row r="125" spans="1:30" ht="15">
      <c r="A125" s="567">
        <v>12</v>
      </c>
      <c r="B125" s="588" t="s">
        <v>447</v>
      </c>
      <c r="C125" s="568"/>
      <c r="D125" s="569"/>
      <c r="E125" s="524">
        <f t="shared" si="44"/>
        <v>4.6211</v>
      </c>
      <c r="F125" s="544">
        <v>2.26</v>
      </c>
      <c r="G125" s="524">
        <f t="shared" si="45"/>
        <v>1.8299999999999998</v>
      </c>
      <c r="H125" s="524">
        <v>0.7</v>
      </c>
      <c r="I125" s="524"/>
      <c r="J125" s="527"/>
      <c r="K125" s="524">
        <f t="shared" si="46"/>
        <v>1.13</v>
      </c>
      <c r="L125" s="524"/>
      <c r="M125" s="524"/>
      <c r="N125" s="524"/>
      <c r="O125" s="527"/>
      <c r="P125" s="527"/>
      <c r="Q125" s="545"/>
      <c r="R125" s="527"/>
      <c r="S125" s="576"/>
      <c r="T125" s="527"/>
      <c r="U125" s="545"/>
      <c r="V125" s="545"/>
      <c r="W125" s="527"/>
      <c r="X125" s="524">
        <f t="shared" si="47"/>
        <v>0.5310999999999999</v>
      </c>
      <c r="Y125" s="528">
        <f t="shared" si="48"/>
        <v>82625268</v>
      </c>
      <c r="Z125" s="18"/>
      <c r="AA125" s="17"/>
      <c r="AB125" s="17"/>
      <c r="AC125" s="17"/>
      <c r="AD125" s="17"/>
    </row>
    <row r="126" spans="1:30" ht="25.5">
      <c r="A126" s="14" t="s">
        <v>448</v>
      </c>
      <c r="B126" s="10" t="s">
        <v>449</v>
      </c>
      <c r="C126" s="552">
        <f>+C127</f>
        <v>22</v>
      </c>
      <c r="D126" s="552">
        <f>+D127</f>
        <v>19</v>
      </c>
      <c r="E126" s="552">
        <f aca="true" t="shared" si="49" ref="E126:Y126">E127+E147</f>
        <v>174.816195</v>
      </c>
      <c r="F126" s="552">
        <f t="shared" si="49"/>
        <v>56.73999999999998</v>
      </c>
      <c r="G126" s="552">
        <f t="shared" si="49"/>
        <v>104.13199999999999</v>
      </c>
      <c r="H126" s="552">
        <f t="shared" si="49"/>
        <v>13.299999999999995</v>
      </c>
      <c r="I126" s="552">
        <f t="shared" si="49"/>
        <v>0.65</v>
      </c>
      <c r="J126" s="552">
        <f t="shared" si="49"/>
        <v>0</v>
      </c>
      <c r="K126" s="552">
        <f t="shared" si="49"/>
        <v>25.184999999999995</v>
      </c>
      <c r="L126" s="552">
        <f t="shared" si="49"/>
        <v>25.290999999999997</v>
      </c>
      <c r="M126" s="552">
        <f t="shared" si="49"/>
        <v>1.7469999999999999</v>
      </c>
      <c r="N126" s="552">
        <f t="shared" si="49"/>
        <v>35.259</v>
      </c>
      <c r="O126" s="552">
        <f t="shared" si="49"/>
        <v>0</v>
      </c>
      <c r="P126" s="552">
        <f t="shared" si="49"/>
        <v>0</v>
      </c>
      <c r="Q126" s="552">
        <f t="shared" si="49"/>
        <v>2.5</v>
      </c>
      <c r="R126" s="552">
        <f t="shared" si="49"/>
        <v>0</v>
      </c>
      <c r="S126" s="552">
        <f t="shared" si="49"/>
        <v>0</v>
      </c>
      <c r="T126" s="552">
        <f t="shared" si="49"/>
        <v>0</v>
      </c>
      <c r="U126" s="552">
        <f t="shared" si="49"/>
        <v>0.2</v>
      </c>
      <c r="V126" s="552">
        <f t="shared" si="49"/>
        <v>0</v>
      </c>
      <c r="W126" s="552">
        <f t="shared" si="49"/>
        <v>0</v>
      </c>
      <c r="X126" s="552">
        <f t="shared" si="49"/>
        <v>13.944194999999997</v>
      </c>
      <c r="Y126" s="589">
        <f t="shared" si="49"/>
        <v>3068319044</v>
      </c>
      <c r="Z126" s="563"/>
      <c r="AA126" s="17"/>
      <c r="AB126" s="17"/>
      <c r="AC126" s="17"/>
      <c r="AD126" s="17"/>
    </row>
    <row r="127" spans="1:30" ht="15.75">
      <c r="A127" s="505"/>
      <c r="B127" s="590" t="s">
        <v>75</v>
      </c>
      <c r="C127" s="512">
        <v>22</v>
      </c>
      <c r="D127" s="512">
        <v>19</v>
      </c>
      <c r="E127" s="591">
        <f>SUM(E128:E146)</f>
        <v>166.146495</v>
      </c>
      <c r="F127" s="591">
        <f aca="true" t="shared" si="50" ref="F127:X127">SUM(F128:F146)</f>
        <v>49.719999999999985</v>
      </c>
      <c r="G127" s="591">
        <f t="shared" si="50"/>
        <v>104.13199999999999</v>
      </c>
      <c r="H127" s="591">
        <f t="shared" si="50"/>
        <v>13.299999999999995</v>
      </c>
      <c r="I127" s="591">
        <f t="shared" si="50"/>
        <v>0.65</v>
      </c>
      <c r="J127" s="591">
        <f t="shared" si="50"/>
        <v>0</v>
      </c>
      <c r="K127" s="591">
        <f t="shared" si="50"/>
        <v>25.184999999999995</v>
      </c>
      <c r="L127" s="591">
        <f t="shared" si="50"/>
        <v>25.290999999999997</v>
      </c>
      <c r="M127" s="591">
        <f t="shared" si="50"/>
        <v>1.7469999999999999</v>
      </c>
      <c r="N127" s="591">
        <f t="shared" si="50"/>
        <v>35.259</v>
      </c>
      <c r="O127" s="591">
        <f t="shared" si="50"/>
        <v>0</v>
      </c>
      <c r="P127" s="591">
        <f t="shared" si="50"/>
        <v>0</v>
      </c>
      <c r="Q127" s="591">
        <f t="shared" si="50"/>
        <v>2.5</v>
      </c>
      <c r="R127" s="591">
        <f t="shared" si="50"/>
        <v>0</v>
      </c>
      <c r="S127" s="591">
        <f t="shared" si="50"/>
        <v>0</v>
      </c>
      <c r="T127" s="591">
        <f t="shared" si="50"/>
        <v>0</v>
      </c>
      <c r="U127" s="591">
        <f t="shared" si="50"/>
        <v>0.2</v>
      </c>
      <c r="V127" s="591">
        <f t="shared" si="50"/>
        <v>0</v>
      </c>
      <c r="W127" s="591">
        <f t="shared" si="50"/>
        <v>0</v>
      </c>
      <c r="X127" s="591">
        <f t="shared" si="50"/>
        <v>12.294494999999998</v>
      </c>
      <c r="Y127" s="563">
        <f>ROUNDUP(SUM(Y128:Y146),-3)</f>
        <v>2942435000</v>
      </c>
      <c r="Z127" s="496"/>
      <c r="AA127" s="22"/>
      <c r="AB127" s="22"/>
      <c r="AC127" s="22"/>
      <c r="AD127" s="22"/>
    </row>
    <row r="128" spans="1:30" ht="15.75">
      <c r="A128" s="505">
        <v>1</v>
      </c>
      <c r="B128" s="400" t="s">
        <v>450</v>
      </c>
      <c r="C128" s="512"/>
      <c r="D128" s="512"/>
      <c r="E128" s="592">
        <f>(F128+G128+X128)</f>
        <v>14.182497999999999</v>
      </c>
      <c r="F128" s="593">
        <v>4.32</v>
      </c>
      <c r="G128" s="515">
        <f aca="true" t="shared" si="51" ref="G128:G147">SUM(H128:W128)</f>
        <v>8.5308</v>
      </c>
      <c r="H128" s="515">
        <v>0.7</v>
      </c>
      <c r="I128" s="515">
        <v>0.25</v>
      </c>
      <c r="J128" s="518"/>
      <c r="K128" s="515">
        <f aca="true" t="shared" si="52" ref="K128:K146">(F128+I128)*50%</f>
        <v>2.285</v>
      </c>
      <c r="L128" s="515"/>
      <c r="M128" s="515">
        <f>(F128+I128)*0.24</f>
        <v>1.0968</v>
      </c>
      <c r="N128" s="515">
        <f>(F128+I128)*70%</f>
        <v>3.199</v>
      </c>
      <c r="O128" s="518"/>
      <c r="P128" s="518"/>
      <c r="Q128" s="515">
        <v>1</v>
      </c>
      <c r="R128" s="518"/>
      <c r="S128" s="518"/>
      <c r="T128" s="518"/>
      <c r="U128" s="518"/>
      <c r="V128" s="518"/>
      <c r="W128" s="515"/>
      <c r="X128" s="515">
        <f>(F128+I128+M128+U128)*23.5%</f>
        <v>1.331698</v>
      </c>
      <c r="Y128" s="2">
        <f aca="true" t="shared" si="53" ref="Y128:Y146">E128*1490000*12</f>
        <v>253583064.24</v>
      </c>
      <c r="Z128" s="496"/>
      <c r="AA128" s="22"/>
      <c r="AB128" s="22"/>
      <c r="AC128" s="22"/>
      <c r="AD128" s="22"/>
    </row>
    <row r="129" spans="1:30" ht="15.75">
      <c r="A129" s="505">
        <v>2</v>
      </c>
      <c r="B129" s="400" t="s">
        <v>451</v>
      </c>
      <c r="C129" s="512"/>
      <c r="D129" s="512"/>
      <c r="E129" s="592">
        <f aca="true" t="shared" si="54" ref="E129:E147">(F129+G129+X129)</f>
        <v>7.899297</v>
      </c>
      <c r="F129" s="593">
        <v>2.67</v>
      </c>
      <c r="G129" s="515">
        <f t="shared" si="51"/>
        <v>4.5642</v>
      </c>
      <c r="H129" s="515">
        <v>0.7</v>
      </c>
      <c r="I129" s="515"/>
      <c r="J129" s="518"/>
      <c r="K129" s="515">
        <f t="shared" si="52"/>
        <v>1.335</v>
      </c>
      <c r="L129" s="515"/>
      <c r="M129" s="515">
        <f>(F129*0.06)</f>
        <v>0.16019999999999998</v>
      </c>
      <c r="N129" s="515">
        <f aca="true" t="shared" si="55" ref="N129:N146">(F129+I129)*70%</f>
        <v>1.8689999999999998</v>
      </c>
      <c r="O129" s="518"/>
      <c r="P129" s="518"/>
      <c r="Q129" s="515">
        <v>0.5</v>
      </c>
      <c r="R129" s="518"/>
      <c r="S129" s="518"/>
      <c r="T129" s="518"/>
      <c r="U129" s="518"/>
      <c r="V129" s="518"/>
      <c r="W129" s="515"/>
      <c r="X129" s="515">
        <f aca="true" t="shared" si="56" ref="X129:X146">(F129+I129+M129+U129)*23.5%</f>
        <v>0.6650969999999999</v>
      </c>
      <c r="Y129" s="2">
        <f t="shared" si="53"/>
        <v>141239430.35999998</v>
      </c>
      <c r="Z129" s="496"/>
      <c r="AA129" s="22"/>
      <c r="AB129" s="22"/>
      <c r="AC129" s="22"/>
      <c r="AD129" s="22"/>
    </row>
    <row r="130" spans="1:30" ht="15.75">
      <c r="A130" s="505">
        <v>3</v>
      </c>
      <c r="B130" s="400" t="s">
        <v>452</v>
      </c>
      <c r="C130" s="501"/>
      <c r="D130" s="501"/>
      <c r="E130" s="592">
        <f t="shared" si="54"/>
        <v>8.76435</v>
      </c>
      <c r="F130" s="593">
        <v>3</v>
      </c>
      <c r="G130" s="515">
        <f t="shared" si="51"/>
        <v>5.01</v>
      </c>
      <c r="H130" s="515">
        <v>0.7</v>
      </c>
      <c r="I130" s="515"/>
      <c r="J130" s="518"/>
      <c r="K130" s="515">
        <f t="shared" si="52"/>
        <v>1.5</v>
      </c>
      <c r="L130" s="515"/>
      <c r="M130" s="515">
        <f>(F130*0.07)</f>
        <v>0.21000000000000002</v>
      </c>
      <c r="N130" s="515">
        <f t="shared" si="55"/>
        <v>2.0999999999999996</v>
      </c>
      <c r="O130" s="518"/>
      <c r="P130" s="518"/>
      <c r="Q130" s="515">
        <v>0.5</v>
      </c>
      <c r="R130" s="518"/>
      <c r="S130" s="518"/>
      <c r="T130" s="518"/>
      <c r="U130" s="518"/>
      <c r="V130" s="518"/>
      <c r="W130" s="515"/>
      <c r="X130" s="515">
        <f t="shared" si="56"/>
        <v>0.75435</v>
      </c>
      <c r="Y130" s="2">
        <f t="shared" si="53"/>
        <v>156706578</v>
      </c>
      <c r="Z130" s="503"/>
      <c r="AA130" s="17"/>
      <c r="AB130" s="17"/>
      <c r="AC130" s="17"/>
      <c r="AD130" s="17"/>
    </row>
    <row r="131" spans="1:30" ht="15.75">
      <c r="A131" s="505">
        <v>4</v>
      </c>
      <c r="B131" s="400" t="s">
        <v>453</v>
      </c>
      <c r="C131" s="512"/>
      <c r="D131" s="512"/>
      <c r="E131" s="592">
        <f t="shared" si="54"/>
        <v>8.0359</v>
      </c>
      <c r="F131" s="593">
        <v>2.34</v>
      </c>
      <c r="G131" s="515">
        <f t="shared" si="51"/>
        <v>5.146</v>
      </c>
      <c r="H131" s="515">
        <v>0.7</v>
      </c>
      <c r="I131" s="515"/>
      <c r="J131" s="518"/>
      <c r="K131" s="515">
        <f t="shared" si="52"/>
        <v>1.17</v>
      </c>
      <c r="L131" s="515">
        <f>0.7*F131</f>
        <v>1.638</v>
      </c>
      <c r="M131" s="515"/>
      <c r="N131" s="515">
        <f t="shared" si="55"/>
        <v>1.638</v>
      </c>
      <c r="O131" s="518"/>
      <c r="P131" s="518"/>
      <c r="Q131" s="515"/>
      <c r="R131" s="518"/>
      <c r="S131" s="518"/>
      <c r="T131" s="518"/>
      <c r="U131" s="518"/>
      <c r="V131" s="518"/>
      <c r="W131" s="515"/>
      <c r="X131" s="515">
        <f t="shared" si="56"/>
        <v>0.5498999999999999</v>
      </c>
      <c r="Y131" s="2">
        <f t="shared" si="53"/>
        <v>143681892</v>
      </c>
      <c r="Z131" s="496"/>
      <c r="AA131" s="22"/>
      <c r="AB131" s="22"/>
      <c r="AC131" s="22"/>
      <c r="AD131" s="22"/>
    </row>
    <row r="132" spans="1:30" ht="15.75">
      <c r="A132" s="505">
        <v>5</v>
      </c>
      <c r="B132" s="400" t="s">
        <v>454</v>
      </c>
      <c r="C132" s="512"/>
      <c r="D132" s="512"/>
      <c r="E132" s="592">
        <f t="shared" si="54"/>
        <v>11.5328</v>
      </c>
      <c r="F132" s="593">
        <v>4</v>
      </c>
      <c r="G132" s="515">
        <f t="shared" si="51"/>
        <v>6.48</v>
      </c>
      <c r="H132" s="515">
        <v>0.7</v>
      </c>
      <c r="I132" s="515"/>
      <c r="J132" s="518"/>
      <c r="K132" s="515">
        <f t="shared" si="52"/>
        <v>2</v>
      </c>
      <c r="L132" s="515"/>
      <c r="M132" s="515">
        <f>(F132*0.07)</f>
        <v>0.28</v>
      </c>
      <c r="N132" s="515">
        <f t="shared" si="55"/>
        <v>2.8</v>
      </c>
      <c r="O132" s="518"/>
      <c r="P132" s="518"/>
      <c r="Q132" s="515">
        <v>0.5</v>
      </c>
      <c r="R132" s="518"/>
      <c r="S132" s="518"/>
      <c r="T132" s="518"/>
      <c r="U132" s="518">
        <v>0.2</v>
      </c>
      <c r="V132" s="518"/>
      <c r="W132" s="515"/>
      <c r="X132" s="515">
        <f t="shared" si="56"/>
        <v>1.0528</v>
      </c>
      <c r="Y132" s="2">
        <f t="shared" si="53"/>
        <v>206206464</v>
      </c>
      <c r="Z132" s="496"/>
      <c r="AA132" s="22"/>
      <c r="AB132" s="22"/>
      <c r="AC132" s="22"/>
      <c r="AD132" s="22"/>
    </row>
    <row r="133" spans="1:30" ht="15.75">
      <c r="A133" s="505">
        <v>6</v>
      </c>
      <c r="B133" s="310" t="s">
        <v>455</v>
      </c>
      <c r="C133" s="512"/>
      <c r="D133" s="512"/>
      <c r="E133" s="592">
        <f t="shared" si="54"/>
        <v>8.0359</v>
      </c>
      <c r="F133" s="593">
        <v>2.34</v>
      </c>
      <c r="G133" s="515">
        <f t="shared" si="51"/>
        <v>5.146</v>
      </c>
      <c r="H133" s="515">
        <v>0.7</v>
      </c>
      <c r="I133" s="515"/>
      <c r="J133" s="518"/>
      <c r="K133" s="515">
        <f t="shared" si="52"/>
        <v>1.17</v>
      </c>
      <c r="L133" s="515">
        <f>0.7*F133</f>
        <v>1.638</v>
      </c>
      <c r="M133" s="515"/>
      <c r="N133" s="515">
        <f t="shared" si="55"/>
        <v>1.638</v>
      </c>
      <c r="O133" s="518"/>
      <c r="P133" s="518"/>
      <c r="Q133" s="515"/>
      <c r="R133" s="518"/>
      <c r="S133" s="518"/>
      <c r="T133" s="518"/>
      <c r="U133" s="518"/>
      <c r="V133" s="518"/>
      <c r="W133" s="515"/>
      <c r="X133" s="515">
        <f t="shared" si="56"/>
        <v>0.5498999999999999</v>
      </c>
      <c r="Y133" s="2">
        <f t="shared" si="53"/>
        <v>143681892</v>
      </c>
      <c r="Z133" s="496"/>
      <c r="AA133" s="22"/>
      <c r="AB133" s="22"/>
      <c r="AC133" s="22"/>
      <c r="AD133" s="22"/>
    </row>
    <row r="134" spans="1:30" ht="15.75">
      <c r="A134" s="505">
        <v>7</v>
      </c>
      <c r="B134" s="310" t="s">
        <v>456</v>
      </c>
      <c r="C134" s="569"/>
      <c r="D134" s="569"/>
      <c r="E134" s="592">
        <f t="shared" si="54"/>
        <v>9.07045</v>
      </c>
      <c r="F134" s="593">
        <v>2.67</v>
      </c>
      <c r="G134" s="515">
        <f t="shared" si="51"/>
        <v>5.773</v>
      </c>
      <c r="H134" s="515">
        <v>0.7</v>
      </c>
      <c r="I134" s="515"/>
      <c r="J134" s="518"/>
      <c r="K134" s="515">
        <f t="shared" si="52"/>
        <v>1.335</v>
      </c>
      <c r="L134" s="515">
        <f>F134*70%</f>
        <v>1.8689999999999998</v>
      </c>
      <c r="M134" s="515"/>
      <c r="N134" s="515">
        <f t="shared" si="55"/>
        <v>1.8689999999999998</v>
      </c>
      <c r="O134" s="518"/>
      <c r="P134" s="518"/>
      <c r="Q134" s="515"/>
      <c r="R134" s="518"/>
      <c r="S134" s="518"/>
      <c r="T134" s="518"/>
      <c r="U134" s="518"/>
      <c r="V134" s="518"/>
      <c r="W134" s="515"/>
      <c r="X134" s="515">
        <f t="shared" si="56"/>
        <v>0.62745</v>
      </c>
      <c r="Y134" s="2">
        <f t="shared" si="53"/>
        <v>162179645.99999997</v>
      </c>
      <c r="Z134" s="594"/>
      <c r="AA134" s="23"/>
      <c r="AB134" s="23"/>
      <c r="AC134" s="23"/>
      <c r="AD134" s="23"/>
    </row>
    <row r="135" spans="1:30" ht="15.75">
      <c r="A135" s="505">
        <v>8</v>
      </c>
      <c r="B135" s="310" t="s">
        <v>457</v>
      </c>
      <c r="C135" s="569"/>
      <c r="D135" s="569"/>
      <c r="E135" s="592">
        <f t="shared" si="54"/>
        <v>8.412099999999999</v>
      </c>
      <c r="F135" s="593">
        <v>2.26</v>
      </c>
      <c r="G135" s="515">
        <f t="shared" si="51"/>
        <v>5.574</v>
      </c>
      <c r="H135" s="515">
        <v>0.7</v>
      </c>
      <c r="I135" s="515">
        <v>0.2</v>
      </c>
      <c r="J135" s="518"/>
      <c r="K135" s="515">
        <f>(F135+I135)*50%</f>
        <v>1.23</v>
      </c>
      <c r="L135" s="515">
        <f>0.7*(F135+I135)</f>
        <v>1.722</v>
      </c>
      <c r="M135" s="515"/>
      <c r="N135" s="515">
        <f t="shared" si="55"/>
        <v>1.722</v>
      </c>
      <c r="O135" s="518"/>
      <c r="P135" s="518"/>
      <c r="Q135" s="515"/>
      <c r="R135" s="518"/>
      <c r="S135" s="518"/>
      <c r="T135" s="518"/>
      <c r="U135" s="518"/>
      <c r="V135" s="518"/>
      <c r="W135" s="515"/>
      <c r="X135" s="515">
        <f t="shared" si="56"/>
        <v>0.5781</v>
      </c>
      <c r="Y135" s="2">
        <f t="shared" si="53"/>
        <v>150408347.99999997</v>
      </c>
      <c r="Z135" s="594"/>
      <c r="AA135" s="23"/>
      <c r="AB135" s="23"/>
      <c r="AC135" s="23"/>
      <c r="AD135" s="23"/>
    </row>
    <row r="136" spans="1:30" ht="15.75">
      <c r="A136" s="505">
        <v>9</v>
      </c>
      <c r="B136" s="310" t="s">
        <v>458</v>
      </c>
      <c r="C136" s="569"/>
      <c r="D136" s="569"/>
      <c r="E136" s="592">
        <f t="shared" si="54"/>
        <v>8.0359</v>
      </c>
      <c r="F136" s="593">
        <v>2.34</v>
      </c>
      <c r="G136" s="515">
        <f t="shared" si="51"/>
        <v>5.146</v>
      </c>
      <c r="H136" s="515">
        <v>0.7</v>
      </c>
      <c r="I136" s="515"/>
      <c r="J136" s="518"/>
      <c r="K136" s="515">
        <f t="shared" si="52"/>
        <v>1.17</v>
      </c>
      <c r="L136" s="515">
        <f>F136*70%</f>
        <v>1.638</v>
      </c>
      <c r="M136" s="515"/>
      <c r="N136" s="515">
        <f t="shared" si="55"/>
        <v>1.638</v>
      </c>
      <c r="O136" s="518"/>
      <c r="P136" s="518"/>
      <c r="Q136" s="515"/>
      <c r="R136" s="518"/>
      <c r="S136" s="518"/>
      <c r="T136" s="518"/>
      <c r="U136" s="518"/>
      <c r="V136" s="518"/>
      <c r="W136" s="515"/>
      <c r="X136" s="515">
        <f t="shared" si="56"/>
        <v>0.5498999999999999</v>
      </c>
      <c r="Y136" s="2">
        <f t="shared" si="53"/>
        <v>143681892</v>
      </c>
      <c r="Z136" s="594"/>
      <c r="AA136" s="23"/>
      <c r="AB136" s="23"/>
      <c r="AC136" s="23"/>
      <c r="AD136" s="23"/>
    </row>
    <row r="137" spans="1:30" ht="15.75">
      <c r="A137" s="505">
        <v>10</v>
      </c>
      <c r="B137" s="400" t="s">
        <v>459</v>
      </c>
      <c r="C137" s="569"/>
      <c r="D137" s="569"/>
      <c r="E137" s="592">
        <f t="shared" si="54"/>
        <v>9.07045</v>
      </c>
      <c r="F137" s="593">
        <v>2.67</v>
      </c>
      <c r="G137" s="515">
        <f t="shared" si="51"/>
        <v>5.773</v>
      </c>
      <c r="H137" s="515">
        <v>0.7</v>
      </c>
      <c r="I137" s="515"/>
      <c r="J137" s="518"/>
      <c r="K137" s="515">
        <f t="shared" si="52"/>
        <v>1.335</v>
      </c>
      <c r="L137" s="515">
        <f>F137*70%</f>
        <v>1.8689999999999998</v>
      </c>
      <c r="M137" s="518"/>
      <c r="N137" s="515">
        <f t="shared" si="55"/>
        <v>1.8689999999999998</v>
      </c>
      <c r="O137" s="518"/>
      <c r="P137" s="518"/>
      <c r="Q137" s="515"/>
      <c r="R137" s="518"/>
      <c r="S137" s="518"/>
      <c r="T137" s="518"/>
      <c r="U137" s="518"/>
      <c r="V137" s="518"/>
      <c r="W137" s="515"/>
      <c r="X137" s="515">
        <f t="shared" si="56"/>
        <v>0.62745</v>
      </c>
      <c r="Y137" s="2">
        <f t="shared" si="53"/>
        <v>162179645.99999997</v>
      </c>
      <c r="Z137" s="594"/>
      <c r="AA137" s="23"/>
      <c r="AB137" s="23"/>
      <c r="AC137" s="23"/>
      <c r="AD137" s="23"/>
    </row>
    <row r="138" spans="1:30" ht="15.75">
      <c r="A138" s="505">
        <v>11</v>
      </c>
      <c r="B138" s="310" t="s">
        <v>460</v>
      </c>
      <c r="C138" s="569"/>
      <c r="D138" s="569"/>
      <c r="E138" s="592">
        <f t="shared" si="54"/>
        <v>8.4121</v>
      </c>
      <c r="F138" s="593">
        <v>2.46</v>
      </c>
      <c r="G138" s="515">
        <f t="shared" si="51"/>
        <v>5.3740000000000006</v>
      </c>
      <c r="H138" s="515">
        <v>0.7</v>
      </c>
      <c r="I138" s="515"/>
      <c r="J138" s="518"/>
      <c r="K138" s="515">
        <f t="shared" si="52"/>
        <v>1.23</v>
      </c>
      <c r="L138" s="515">
        <f>0.7*F138</f>
        <v>1.722</v>
      </c>
      <c r="M138" s="518"/>
      <c r="N138" s="515">
        <f t="shared" si="55"/>
        <v>1.722</v>
      </c>
      <c r="O138" s="518"/>
      <c r="P138" s="518"/>
      <c r="Q138" s="515"/>
      <c r="R138" s="518"/>
      <c r="S138" s="518"/>
      <c r="T138" s="518"/>
      <c r="U138" s="518"/>
      <c r="V138" s="518"/>
      <c r="W138" s="515"/>
      <c r="X138" s="515">
        <f t="shared" si="56"/>
        <v>0.5781</v>
      </c>
      <c r="Y138" s="2">
        <f t="shared" si="53"/>
        <v>150408348</v>
      </c>
      <c r="Z138" s="594"/>
      <c r="AA138" s="23"/>
      <c r="AB138" s="23"/>
      <c r="AC138" s="23"/>
      <c r="AD138" s="23"/>
    </row>
    <row r="139" spans="1:30" ht="15.75">
      <c r="A139" s="505">
        <v>12</v>
      </c>
      <c r="B139" s="310" t="s">
        <v>461</v>
      </c>
      <c r="C139" s="569"/>
      <c r="D139" s="569"/>
      <c r="E139" s="592">
        <f t="shared" si="54"/>
        <v>7.7851</v>
      </c>
      <c r="F139" s="593">
        <v>2.26</v>
      </c>
      <c r="G139" s="515">
        <f t="shared" si="51"/>
        <v>4.994</v>
      </c>
      <c r="H139" s="515">
        <v>0.7</v>
      </c>
      <c r="I139" s="515"/>
      <c r="J139" s="518"/>
      <c r="K139" s="515">
        <f t="shared" si="52"/>
        <v>1.13</v>
      </c>
      <c r="L139" s="515">
        <f aca="true" t="shared" si="57" ref="L139:L146">0.7*F139</f>
        <v>1.5819999999999999</v>
      </c>
      <c r="M139" s="518"/>
      <c r="N139" s="515">
        <f t="shared" si="55"/>
        <v>1.5819999999999999</v>
      </c>
      <c r="O139" s="518"/>
      <c r="P139" s="518"/>
      <c r="Q139" s="515"/>
      <c r="R139" s="518"/>
      <c r="S139" s="518"/>
      <c r="T139" s="518"/>
      <c r="U139" s="518"/>
      <c r="V139" s="518"/>
      <c r="W139" s="515"/>
      <c r="X139" s="515">
        <f t="shared" si="56"/>
        <v>0.5310999999999999</v>
      </c>
      <c r="Y139" s="2">
        <f t="shared" si="53"/>
        <v>139197588</v>
      </c>
      <c r="Z139" s="594"/>
      <c r="AA139" s="23"/>
      <c r="AB139" s="23"/>
      <c r="AC139" s="23"/>
      <c r="AD139" s="23"/>
    </row>
    <row r="140" spans="1:30" ht="15.75">
      <c r="A140" s="505">
        <v>13</v>
      </c>
      <c r="B140" s="310" t="s">
        <v>462</v>
      </c>
      <c r="C140" s="569"/>
      <c r="D140" s="569"/>
      <c r="E140" s="592">
        <f t="shared" si="54"/>
        <v>7.7851</v>
      </c>
      <c r="F140" s="593">
        <v>2.26</v>
      </c>
      <c r="G140" s="515">
        <f t="shared" si="51"/>
        <v>4.994</v>
      </c>
      <c r="H140" s="515">
        <v>0.7</v>
      </c>
      <c r="I140" s="515"/>
      <c r="J140" s="518"/>
      <c r="K140" s="515">
        <f t="shared" si="52"/>
        <v>1.13</v>
      </c>
      <c r="L140" s="515">
        <f t="shared" si="57"/>
        <v>1.5819999999999999</v>
      </c>
      <c r="M140" s="518"/>
      <c r="N140" s="515">
        <f t="shared" si="55"/>
        <v>1.5819999999999999</v>
      </c>
      <c r="O140" s="518"/>
      <c r="P140" s="518"/>
      <c r="Q140" s="515"/>
      <c r="R140" s="518"/>
      <c r="S140" s="518"/>
      <c r="T140" s="518"/>
      <c r="U140" s="518"/>
      <c r="V140" s="518"/>
      <c r="W140" s="515"/>
      <c r="X140" s="515">
        <f t="shared" si="56"/>
        <v>0.5310999999999999</v>
      </c>
      <c r="Y140" s="2">
        <f t="shared" si="53"/>
        <v>139197588</v>
      </c>
      <c r="Z140" s="594"/>
      <c r="AA140" s="23"/>
      <c r="AB140" s="23"/>
      <c r="AC140" s="23"/>
      <c r="AD140" s="23"/>
    </row>
    <row r="141" spans="1:30" ht="15.75">
      <c r="A141" s="505">
        <v>14</v>
      </c>
      <c r="B141" s="595" t="s">
        <v>463</v>
      </c>
      <c r="C141" s="569"/>
      <c r="D141" s="569"/>
      <c r="E141" s="592">
        <f t="shared" si="54"/>
        <v>9.07045</v>
      </c>
      <c r="F141" s="593">
        <v>2.67</v>
      </c>
      <c r="G141" s="515">
        <f t="shared" si="51"/>
        <v>5.773</v>
      </c>
      <c r="H141" s="515">
        <v>0.7</v>
      </c>
      <c r="I141" s="515"/>
      <c r="J141" s="518"/>
      <c r="K141" s="515">
        <f t="shared" si="52"/>
        <v>1.335</v>
      </c>
      <c r="L141" s="515">
        <f t="shared" si="57"/>
        <v>1.8689999999999998</v>
      </c>
      <c r="M141" s="518"/>
      <c r="N141" s="515">
        <f t="shared" si="55"/>
        <v>1.8689999999999998</v>
      </c>
      <c r="O141" s="518"/>
      <c r="P141" s="518"/>
      <c r="Q141" s="515"/>
      <c r="R141" s="518"/>
      <c r="S141" s="518"/>
      <c r="T141" s="518"/>
      <c r="U141" s="518"/>
      <c r="V141" s="518"/>
      <c r="W141" s="515"/>
      <c r="X141" s="515">
        <f t="shared" si="56"/>
        <v>0.62745</v>
      </c>
      <c r="Y141" s="2">
        <f t="shared" si="53"/>
        <v>162179645.99999997</v>
      </c>
      <c r="Z141" s="594"/>
      <c r="AA141" s="23"/>
      <c r="AB141" s="23"/>
      <c r="AC141" s="23"/>
      <c r="AD141" s="23"/>
    </row>
    <row r="142" spans="1:30" ht="15.75">
      <c r="A142" s="505">
        <v>15</v>
      </c>
      <c r="B142" s="595" t="s">
        <v>464</v>
      </c>
      <c r="C142" s="569"/>
      <c r="D142" s="569"/>
      <c r="E142" s="592">
        <f t="shared" si="54"/>
        <v>8.0359</v>
      </c>
      <c r="F142" s="593">
        <v>2.34</v>
      </c>
      <c r="G142" s="515">
        <f t="shared" si="51"/>
        <v>5.146</v>
      </c>
      <c r="H142" s="515">
        <v>0.7</v>
      </c>
      <c r="I142" s="515"/>
      <c r="J142" s="518"/>
      <c r="K142" s="515">
        <f t="shared" si="52"/>
        <v>1.17</v>
      </c>
      <c r="L142" s="515">
        <f t="shared" si="57"/>
        <v>1.638</v>
      </c>
      <c r="M142" s="518"/>
      <c r="N142" s="515">
        <f t="shared" si="55"/>
        <v>1.638</v>
      </c>
      <c r="O142" s="518"/>
      <c r="P142" s="518"/>
      <c r="Q142" s="515"/>
      <c r="R142" s="518"/>
      <c r="S142" s="518"/>
      <c r="T142" s="518"/>
      <c r="U142" s="518"/>
      <c r="V142" s="518"/>
      <c r="W142" s="515"/>
      <c r="X142" s="515">
        <f t="shared" si="56"/>
        <v>0.5498999999999999</v>
      </c>
      <c r="Y142" s="2">
        <f t="shared" si="53"/>
        <v>143681892</v>
      </c>
      <c r="Z142" s="594"/>
      <c r="AA142" s="23"/>
      <c r="AB142" s="23"/>
      <c r="AC142" s="23"/>
      <c r="AD142" s="23"/>
    </row>
    <row r="143" spans="1:30" ht="15.75">
      <c r="A143" s="505">
        <v>16</v>
      </c>
      <c r="B143" s="595" t="s">
        <v>465</v>
      </c>
      <c r="C143" s="569"/>
      <c r="D143" s="569"/>
      <c r="E143" s="592">
        <f t="shared" si="54"/>
        <v>7.7851</v>
      </c>
      <c r="F143" s="593">
        <v>2.26</v>
      </c>
      <c r="G143" s="515">
        <f t="shared" si="51"/>
        <v>4.994</v>
      </c>
      <c r="H143" s="515">
        <v>0.7</v>
      </c>
      <c r="I143" s="515"/>
      <c r="J143" s="518"/>
      <c r="K143" s="515">
        <f t="shared" si="52"/>
        <v>1.13</v>
      </c>
      <c r="L143" s="515">
        <f t="shared" si="57"/>
        <v>1.5819999999999999</v>
      </c>
      <c r="M143" s="518"/>
      <c r="N143" s="515">
        <f t="shared" si="55"/>
        <v>1.5819999999999999</v>
      </c>
      <c r="O143" s="518"/>
      <c r="P143" s="518"/>
      <c r="Q143" s="515"/>
      <c r="R143" s="518"/>
      <c r="S143" s="518"/>
      <c r="T143" s="518"/>
      <c r="U143" s="518"/>
      <c r="V143" s="518"/>
      <c r="W143" s="515"/>
      <c r="X143" s="515">
        <f t="shared" si="56"/>
        <v>0.5310999999999999</v>
      </c>
      <c r="Y143" s="2">
        <f t="shared" si="53"/>
        <v>139197588</v>
      </c>
      <c r="Z143" s="594"/>
      <c r="AA143" s="23"/>
      <c r="AB143" s="23"/>
      <c r="AC143" s="23"/>
      <c r="AD143" s="23"/>
    </row>
    <row r="144" spans="1:30" ht="15.75">
      <c r="A144" s="505">
        <v>17</v>
      </c>
      <c r="B144" s="595" t="s">
        <v>466</v>
      </c>
      <c r="C144" s="569"/>
      <c r="D144" s="569"/>
      <c r="E144" s="592">
        <f t="shared" si="54"/>
        <v>8.0359</v>
      </c>
      <c r="F144" s="593">
        <v>2.34</v>
      </c>
      <c r="G144" s="515">
        <f t="shared" si="51"/>
        <v>5.146</v>
      </c>
      <c r="H144" s="515">
        <v>0.7</v>
      </c>
      <c r="I144" s="515"/>
      <c r="J144" s="518"/>
      <c r="K144" s="515">
        <f t="shared" si="52"/>
        <v>1.17</v>
      </c>
      <c r="L144" s="515">
        <f t="shared" si="57"/>
        <v>1.638</v>
      </c>
      <c r="M144" s="518"/>
      <c r="N144" s="515">
        <f t="shared" si="55"/>
        <v>1.638</v>
      </c>
      <c r="O144" s="518"/>
      <c r="P144" s="518"/>
      <c r="Q144" s="515"/>
      <c r="R144" s="518"/>
      <c r="S144" s="518"/>
      <c r="T144" s="518"/>
      <c r="U144" s="518"/>
      <c r="V144" s="518"/>
      <c r="W144" s="515"/>
      <c r="X144" s="515">
        <f t="shared" si="56"/>
        <v>0.5498999999999999</v>
      </c>
      <c r="Y144" s="2">
        <f t="shared" si="53"/>
        <v>143681892</v>
      </c>
      <c r="Z144" s="594"/>
      <c r="AA144" s="23"/>
      <c r="AB144" s="23"/>
      <c r="AC144" s="23"/>
      <c r="AD144" s="23"/>
    </row>
    <row r="145" spans="1:30" ht="15.75">
      <c r="A145" s="505">
        <v>18</v>
      </c>
      <c r="B145" s="310" t="s">
        <v>467</v>
      </c>
      <c r="C145" s="569"/>
      <c r="D145" s="569"/>
      <c r="E145" s="592">
        <f t="shared" si="54"/>
        <v>8.412099999999999</v>
      </c>
      <c r="F145" s="515">
        <v>2.26</v>
      </c>
      <c r="G145" s="515">
        <f>SUM(H145:W145)</f>
        <v>5.574</v>
      </c>
      <c r="H145" s="515">
        <v>0.7</v>
      </c>
      <c r="I145" s="515">
        <v>0.2</v>
      </c>
      <c r="J145" s="515"/>
      <c r="K145" s="515">
        <f>(F145+I145)*50%</f>
        <v>1.23</v>
      </c>
      <c r="L145" s="515">
        <f>0.7*(F145+I145)</f>
        <v>1.722</v>
      </c>
      <c r="M145" s="515"/>
      <c r="N145" s="515">
        <f t="shared" si="55"/>
        <v>1.722</v>
      </c>
      <c r="O145" s="515"/>
      <c r="P145" s="515"/>
      <c r="Q145" s="515"/>
      <c r="R145" s="515"/>
      <c r="S145" s="515"/>
      <c r="T145" s="515"/>
      <c r="U145" s="515"/>
      <c r="V145" s="515"/>
      <c r="W145" s="515"/>
      <c r="X145" s="515">
        <f t="shared" si="56"/>
        <v>0.5781</v>
      </c>
      <c r="Y145" s="2">
        <f>E145*1210000*12</f>
        <v>122143691.99999997</v>
      </c>
      <c r="Z145" s="594"/>
      <c r="AA145" s="23"/>
      <c r="AB145" s="23"/>
      <c r="AC145" s="23"/>
      <c r="AD145" s="23"/>
    </row>
    <row r="146" spans="1:30" ht="15.75">
      <c r="A146" s="505">
        <v>19</v>
      </c>
      <c r="B146" s="595" t="s">
        <v>468</v>
      </c>
      <c r="C146" s="569"/>
      <c r="D146" s="569"/>
      <c r="E146" s="592">
        <f t="shared" si="54"/>
        <v>7.7851</v>
      </c>
      <c r="F146" s="593">
        <v>2.26</v>
      </c>
      <c r="G146" s="515">
        <f t="shared" si="51"/>
        <v>4.994</v>
      </c>
      <c r="H146" s="515">
        <v>0.7</v>
      </c>
      <c r="I146" s="515"/>
      <c r="J146" s="518"/>
      <c r="K146" s="515">
        <f t="shared" si="52"/>
        <v>1.13</v>
      </c>
      <c r="L146" s="515">
        <f t="shared" si="57"/>
        <v>1.5819999999999999</v>
      </c>
      <c r="M146" s="518"/>
      <c r="N146" s="515">
        <f t="shared" si="55"/>
        <v>1.5819999999999999</v>
      </c>
      <c r="O146" s="518"/>
      <c r="P146" s="518"/>
      <c r="Q146" s="515"/>
      <c r="R146" s="518"/>
      <c r="S146" s="518"/>
      <c r="T146" s="518"/>
      <c r="U146" s="518"/>
      <c r="V146" s="518"/>
      <c r="W146" s="515"/>
      <c r="X146" s="515">
        <f t="shared" si="56"/>
        <v>0.5310999999999999</v>
      </c>
      <c r="Y146" s="2">
        <f t="shared" si="53"/>
        <v>139197588</v>
      </c>
      <c r="Z146" s="594"/>
      <c r="AA146" s="23"/>
      <c r="AB146" s="23"/>
      <c r="AC146" s="23"/>
      <c r="AD146" s="23"/>
    </row>
    <row r="147" spans="1:30" ht="15.75">
      <c r="A147" s="567">
        <v>20</v>
      </c>
      <c r="B147" s="273" t="s">
        <v>469</v>
      </c>
      <c r="C147" s="569"/>
      <c r="D147" s="569"/>
      <c r="E147" s="592">
        <f t="shared" si="54"/>
        <v>8.669699999999999</v>
      </c>
      <c r="F147" s="592">
        <f>2.34*3</f>
        <v>7.02</v>
      </c>
      <c r="G147" s="515">
        <f t="shared" si="51"/>
        <v>0</v>
      </c>
      <c r="H147" s="592"/>
      <c r="I147" s="592"/>
      <c r="J147" s="592"/>
      <c r="K147" s="592"/>
      <c r="L147" s="592"/>
      <c r="M147" s="592"/>
      <c r="N147" s="592"/>
      <c r="O147" s="592"/>
      <c r="P147" s="592"/>
      <c r="Q147" s="592"/>
      <c r="R147" s="592"/>
      <c r="S147" s="592"/>
      <c r="T147" s="592"/>
      <c r="U147" s="592"/>
      <c r="V147" s="592"/>
      <c r="W147" s="592"/>
      <c r="X147" s="515">
        <f>(F147+I147+M147+U147)*23.5%</f>
        <v>1.6496999999999997</v>
      </c>
      <c r="Y147" s="2">
        <f>E147*1210000*12</f>
        <v>125884043.99999997</v>
      </c>
      <c r="Z147" s="594"/>
      <c r="AA147" s="23"/>
      <c r="AB147" s="23"/>
      <c r="AC147" s="23"/>
      <c r="AD147" s="23"/>
    </row>
    <row r="148" spans="1:30" ht="15">
      <c r="A148" s="14" t="s">
        <v>470</v>
      </c>
      <c r="B148" s="596" t="s">
        <v>471</v>
      </c>
      <c r="C148" s="552">
        <f>+C149+C175</f>
        <v>33</v>
      </c>
      <c r="D148" s="552">
        <f>+D149+D175</f>
        <v>24</v>
      </c>
      <c r="E148" s="592">
        <f>(F148+G148+X148)</f>
        <v>272.28693499999997</v>
      </c>
      <c r="F148" s="552">
        <f aca="true" t="shared" si="58" ref="F148:Y148">F149+F174</f>
        <v>108.15</v>
      </c>
      <c r="G148" s="552">
        <f t="shared" si="58"/>
        <v>138.0836</v>
      </c>
      <c r="H148" s="552">
        <f t="shared" si="58"/>
        <v>16.799999999999997</v>
      </c>
      <c r="I148" s="552">
        <f t="shared" si="58"/>
        <v>1.05</v>
      </c>
      <c r="J148" s="552">
        <f t="shared" si="58"/>
        <v>0</v>
      </c>
      <c r="K148" s="552">
        <f t="shared" si="58"/>
        <v>33.540000000000006</v>
      </c>
      <c r="L148" s="552">
        <f t="shared" si="58"/>
        <v>32.466</v>
      </c>
      <c r="M148" s="552">
        <f t="shared" si="58"/>
        <v>3.7516</v>
      </c>
      <c r="N148" s="552">
        <f t="shared" si="58"/>
        <v>46.95599999999999</v>
      </c>
      <c r="O148" s="552">
        <f t="shared" si="58"/>
        <v>0</v>
      </c>
      <c r="P148" s="552">
        <f t="shared" si="58"/>
        <v>0</v>
      </c>
      <c r="Q148" s="552">
        <f t="shared" si="58"/>
        <v>3.4</v>
      </c>
      <c r="R148" s="552">
        <f t="shared" si="58"/>
        <v>0</v>
      </c>
      <c r="S148" s="552">
        <f t="shared" si="58"/>
        <v>0</v>
      </c>
      <c r="T148" s="552">
        <f t="shared" si="58"/>
        <v>0</v>
      </c>
      <c r="U148" s="552">
        <f t="shared" si="58"/>
        <v>0.12</v>
      </c>
      <c r="V148" s="552">
        <f t="shared" si="58"/>
        <v>0</v>
      </c>
      <c r="W148" s="552">
        <f t="shared" si="58"/>
        <v>0</v>
      </c>
      <c r="X148" s="552">
        <f t="shared" si="58"/>
        <v>26.053335</v>
      </c>
      <c r="Y148" s="563">
        <f t="shared" si="58"/>
        <v>4693709388.5</v>
      </c>
      <c r="Z148" s="563"/>
      <c r="AA148" s="17"/>
      <c r="AB148" s="17"/>
      <c r="AC148" s="17"/>
      <c r="AD148" s="17"/>
    </row>
    <row r="149" spans="1:30" ht="15">
      <c r="A149" s="582" t="s">
        <v>472</v>
      </c>
      <c r="B149" s="597" t="s">
        <v>473</v>
      </c>
      <c r="C149" s="518">
        <f>+C150</f>
        <v>18</v>
      </c>
      <c r="D149" s="518">
        <f>+D150</f>
        <v>18</v>
      </c>
      <c r="E149" s="592">
        <f>(F149+G149+X149)</f>
        <v>157.4316475</v>
      </c>
      <c r="F149" s="552">
        <f aca="true" t="shared" si="59" ref="F149:Y149">F150+F170</f>
        <v>46.540000000000006</v>
      </c>
      <c r="G149" s="552">
        <f t="shared" si="59"/>
        <v>99.86009999999999</v>
      </c>
      <c r="H149" s="552">
        <f t="shared" si="59"/>
        <v>12.599999999999996</v>
      </c>
      <c r="I149" s="552">
        <f t="shared" si="59"/>
        <v>0.25</v>
      </c>
      <c r="J149" s="552">
        <f t="shared" si="59"/>
        <v>0</v>
      </c>
      <c r="K149" s="552">
        <f t="shared" si="59"/>
        <v>23.395000000000003</v>
      </c>
      <c r="L149" s="552">
        <f t="shared" si="59"/>
        <v>27.223</v>
      </c>
      <c r="M149" s="552">
        <f t="shared" si="59"/>
        <v>2.2391</v>
      </c>
      <c r="N149" s="552">
        <f t="shared" si="59"/>
        <v>32.75299999999999</v>
      </c>
      <c r="O149" s="552">
        <f t="shared" si="59"/>
        <v>0</v>
      </c>
      <c r="P149" s="552">
        <f t="shared" si="59"/>
        <v>0</v>
      </c>
      <c r="Q149" s="552">
        <f t="shared" si="59"/>
        <v>1.4</v>
      </c>
      <c r="R149" s="552">
        <f t="shared" si="59"/>
        <v>0</v>
      </c>
      <c r="S149" s="552">
        <f t="shared" si="59"/>
        <v>0</v>
      </c>
      <c r="T149" s="552">
        <f t="shared" si="59"/>
        <v>0</v>
      </c>
      <c r="U149" s="552">
        <f t="shared" si="59"/>
        <v>0</v>
      </c>
      <c r="V149" s="552">
        <f t="shared" si="59"/>
        <v>0</v>
      </c>
      <c r="W149" s="552">
        <f t="shared" si="59"/>
        <v>0</v>
      </c>
      <c r="X149" s="552">
        <f t="shared" si="59"/>
        <v>11.031547500000002</v>
      </c>
      <c r="Y149" s="563">
        <f t="shared" si="59"/>
        <v>2814878000</v>
      </c>
      <c r="Z149" s="19"/>
      <c r="AA149" s="17"/>
      <c r="AB149" s="17"/>
      <c r="AC149" s="17"/>
      <c r="AD149" s="17"/>
    </row>
    <row r="150" spans="1:30" ht="15">
      <c r="A150" s="582"/>
      <c r="B150" s="598" t="s">
        <v>75</v>
      </c>
      <c r="C150" s="518">
        <v>18</v>
      </c>
      <c r="D150" s="518">
        <v>18</v>
      </c>
      <c r="E150" s="592">
        <f>(F150+G150+X150)</f>
        <v>157.4316475</v>
      </c>
      <c r="F150" s="552">
        <f aca="true" t="shared" si="60" ref="F150:X150">SUM(F151:F169)</f>
        <v>46.540000000000006</v>
      </c>
      <c r="G150" s="552">
        <f t="shared" si="60"/>
        <v>99.86009999999999</v>
      </c>
      <c r="H150" s="552">
        <f t="shared" si="60"/>
        <v>12.599999999999996</v>
      </c>
      <c r="I150" s="552">
        <f t="shared" si="60"/>
        <v>0.25</v>
      </c>
      <c r="J150" s="552">
        <f t="shared" si="60"/>
        <v>0</v>
      </c>
      <c r="K150" s="552">
        <f t="shared" si="60"/>
        <v>23.395000000000003</v>
      </c>
      <c r="L150" s="552">
        <f t="shared" si="60"/>
        <v>27.223</v>
      </c>
      <c r="M150" s="552">
        <f t="shared" si="60"/>
        <v>2.2391</v>
      </c>
      <c r="N150" s="552">
        <f t="shared" si="60"/>
        <v>32.75299999999999</v>
      </c>
      <c r="O150" s="552">
        <f t="shared" si="60"/>
        <v>0</v>
      </c>
      <c r="P150" s="552">
        <f t="shared" si="60"/>
        <v>0</v>
      </c>
      <c r="Q150" s="552">
        <f t="shared" si="60"/>
        <v>1.4</v>
      </c>
      <c r="R150" s="552">
        <f t="shared" si="60"/>
        <v>0</v>
      </c>
      <c r="S150" s="552">
        <f t="shared" si="60"/>
        <v>0</v>
      </c>
      <c r="T150" s="552">
        <f t="shared" si="60"/>
        <v>0</v>
      </c>
      <c r="U150" s="552">
        <f t="shared" si="60"/>
        <v>0</v>
      </c>
      <c r="V150" s="552">
        <f t="shared" si="60"/>
        <v>0</v>
      </c>
      <c r="W150" s="552">
        <f t="shared" si="60"/>
        <v>0</v>
      </c>
      <c r="X150" s="552">
        <f t="shared" si="60"/>
        <v>11.031547500000002</v>
      </c>
      <c r="Y150" s="563">
        <f>ROUNDUP(SUM(Y151:Y169),-3)</f>
        <v>2814878000</v>
      </c>
      <c r="Z150" s="19"/>
      <c r="AA150" s="17"/>
      <c r="AB150" s="17"/>
      <c r="AC150" s="17"/>
      <c r="AD150" s="17"/>
    </row>
    <row r="151" spans="1:30" ht="15">
      <c r="A151" s="567"/>
      <c r="B151" s="599"/>
      <c r="C151" s="518"/>
      <c r="D151" s="518"/>
      <c r="E151" s="592"/>
      <c r="F151" s="600"/>
      <c r="G151" s="515"/>
      <c r="H151" s="601"/>
      <c r="I151" s="602"/>
      <c r="J151" s="518"/>
      <c r="K151" s="601"/>
      <c r="L151" s="601"/>
      <c r="M151" s="601"/>
      <c r="N151" s="603"/>
      <c r="O151" s="518"/>
      <c r="P151" s="518"/>
      <c r="Q151" s="604"/>
      <c r="R151" s="518"/>
      <c r="S151" s="605"/>
      <c r="T151" s="518"/>
      <c r="U151" s="606"/>
      <c r="V151" s="606"/>
      <c r="W151" s="518"/>
      <c r="X151" s="601"/>
      <c r="Y151" s="2"/>
      <c r="Z151" s="18"/>
      <c r="AA151" s="17"/>
      <c r="AB151" s="17"/>
      <c r="AC151" s="17"/>
      <c r="AD151" s="17"/>
    </row>
    <row r="152" spans="1:30" ht="15">
      <c r="A152" s="567">
        <v>1</v>
      </c>
      <c r="B152" s="599" t="s">
        <v>474</v>
      </c>
      <c r="C152" s="518"/>
      <c r="D152" s="518"/>
      <c r="E152" s="592">
        <f aca="true" t="shared" si="61" ref="E152:E169">(F152+G152+X152)</f>
        <v>12.461100000000002</v>
      </c>
      <c r="F152" s="600">
        <v>3.99</v>
      </c>
      <c r="G152" s="515">
        <f aca="true" t="shared" si="62" ref="G152:G169">SUM(H152:W152)</f>
        <v>7.3740000000000006</v>
      </c>
      <c r="H152" s="601">
        <v>0.7</v>
      </c>
      <c r="I152" s="602">
        <v>0.25</v>
      </c>
      <c r="J152" s="518"/>
      <c r="K152" s="601">
        <f aca="true" t="shared" si="63" ref="K152:K169">(F152+I152)*50%</f>
        <v>2.12</v>
      </c>
      <c r="L152" s="601"/>
      <c r="M152" s="601">
        <f>(F152+I152)*0.15</f>
        <v>0.636</v>
      </c>
      <c r="N152" s="603">
        <f aca="true" t="shared" si="64" ref="N152:N169">(F152+I152)*70%</f>
        <v>2.968</v>
      </c>
      <c r="O152" s="518"/>
      <c r="P152" s="518"/>
      <c r="Q152" s="604">
        <v>0.7</v>
      </c>
      <c r="R152" s="518"/>
      <c r="S152" s="605"/>
      <c r="T152" s="518"/>
      <c r="U152" s="606"/>
      <c r="V152" s="606"/>
      <c r="W152" s="518"/>
      <c r="X152" s="601">
        <f aca="true" t="shared" si="65" ref="X152:X169">(F152+I152+M152+V152)*22.5%</f>
        <v>1.0971000000000002</v>
      </c>
      <c r="Y152" s="2">
        <f aca="true" t="shared" si="66" ref="Y152:Y177">E152*1490000*12</f>
        <v>222804468.00000006</v>
      </c>
      <c r="Z152" s="18"/>
      <c r="AA152" s="17"/>
      <c r="AB152" s="17"/>
      <c r="AC152" s="17"/>
      <c r="AD152" s="17"/>
    </row>
    <row r="153" spans="1:30" ht="15">
      <c r="A153" s="567">
        <v>2</v>
      </c>
      <c r="B153" s="599" t="s">
        <v>475</v>
      </c>
      <c r="C153" s="518"/>
      <c r="D153" s="518"/>
      <c r="E153" s="592">
        <f t="shared" si="61"/>
        <v>11.127365000000001</v>
      </c>
      <c r="F153" s="600">
        <v>3.66</v>
      </c>
      <c r="G153" s="515">
        <f t="shared" si="62"/>
        <v>6.4874</v>
      </c>
      <c r="H153" s="601">
        <v>0.7</v>
      </c>
      <c r="I153" s="601"/>
      <c r="J153" s="518"/>
      <c r="K153" s="601">
        <f t="shared" si="63"/>
        <v>1.83</v>
      </c>
      <c r="L153" s="601"/>
      <c r="M153" s="601">
        <f>(F153+I153)*0.19</f>
        <v>0.6954</v>
      </c>
      <c r="N153" s="603">
        <f t="shared" si="64"/>
        <v>2.562</v>
      </c>
      <c r="O153" s="518"/>
      <c r="P153" s="518"/>
      <c r="Q153" s="607">
        <v>0.7</v>
      </c>
      <c r="R153" s="518"/>
      <c r="S153" s="605"/>
      <c r="T153" s="518"/>
      <c r="U153" s="606"/>
      <c r="V153" s="606"/>
      <c r="W153" s="518"/>
      <c r="X153" s="601">
        <f t="shared" si="65"/>
        <v>0.9799650000000001</v>
      </c>
      <c r="Y153" s="2">
        <f t="shared" si="66"/>
        <v>198957286.20000002</v>
      </c>
      <c r="Z153" s="18"/>
      <c r="AA153" s="17"/>
      <c r="AB153" s="17"/>
      <c r="AC153" s="17"/>
      <c r="AD153" s="17"/>
    </row>
    <row r="154" spans="1:30" ht="15">
      <c r="A154" s="567">
        <v>3</v>
      </c>
      <c r="B154" s="599" t="s">
        <v>438</v>
      </c>
      <c r="C154" s="518"/>
      <c r="D154" s="518"/>
      <c r="E154" s="592">
        <f t="shared" si="61"/>
        <v>9.2072875</v>
      </c>
      <c r="F154" s="600">
        <v>2.67</v>
      </c>
      <c r="G154" s="515">
        <f>SUM(H154:W154)</f>
        <v>5.906499999999999</v>
      </c>
      <c r="H154" s="601">
        <v>0.7</v>
      </c>
      <c r="I154" s="601"/>
      <c r="J154" s="518"/>
      <c r="K154" s="601">
        <f>(F154+I154)*50%</f>
        <v>1.335</v>
      </c>
      <c r="L154" s="601">
        <f aca="true" t="shared" si="67" ref="L154:L169">(F154+I154)*70%</f>
        <v>1.8689999999999998</v>
      </c>
      <c r="M154" s="601">
        <f>(F154+I154)*0.05</f>
        <v>0.1335</v>
      </c>
      <c r="N154" s="603">
        <f>(F154+I154)*70%</f>
        <v>1.8689999999999998</v>
      </c>
      <c r="O154" s="518"/>
      <c r="P154" s="518"/>
      <c r="Q154" s="607"/>
      <c r="R154" s="518"/>
      <c r="S154" s="605"/>
      <c r="T154" s="518"/>
      <c r="U154" s="606"/>
      <c r="V154" s="606"/>
      <c r="W154" s="518"/>
      <c r="X154" s="601">
        <f>(F154+I154+M154+V154)*22.5%</f>
        <v>0.6307875000000001</v>
      </c>
      <c r="Y154" s="2">
        <f>E154*1490000*12</f>
        <v>164626300.5</v>
      </c>
      <c r="Z154" s="18"/>
      <c r="AA154" s="17"/>
      <c r="AB154" s="17"/>
      <c r="AC154" s="17"/>
      <c r="AD154" s="17"/>
    </row>
    <row r="155" spans="1:30" ht="15">
      <c r="A155" s="567">
        <v>4</v>
      </c>
      <c r="B155" s="608" t="s">
        <v>476</v>
      </c>
      <c r="C155" s="518"/>
      <c r="D155" s="518"/>
      <c r="E155" s="592">
        <f t="shared" si="61"/>
        <v>7.762499999999999</v>
      </c>
      <c r="F155" s="600">
        <v>2.26</v>
      </c>
      <c r="G155" s="515">
        <f t="shared" si="62"/>
        <v>4.994</v>
      </c>
      <c r="H155" s="601">
        <v>0.7</v>
      </c>
      <c r="I155" s="601"/>
      <c r="J155" s="518"/>
      <c r="K155" s="601">
        <f t="shared" si="63"/>
        <v>1.13</v>
      </c>
      <c r="L155" s="601">
        <f t="shared" si="67"/>
        <v>1.5819999999999999</v>
      </c>
      <c r="M155" s="601"/>
      <c r="N155" s="603">
        <f t="shared" si="64"/>
        <v>1.5819999999999999</v>
      </c>
      <c r="O155" s="518"/>
      <c r="P155" s="518"/>
      <c r="Q155" s="601"/>
      <c r="R155" s="518"/>
      <c r="S155" s="605"/>
      <c r="T155" s="518"/>
      <c r="U155" s="606"/>
      <c r="V155" s="606"/>
      <c r="W155" s="518"/>
      <c r="X155" s="601">
        <f t="shared" si="65"/>
        <v>0.5085</v>
      </c>
      <c r="Y155" s="2">
        <f t="shared" si="66"/>
        <v>138793499.99999997</v>
      </c>
      <c r="Z155" s="18"/>
      <c r="AA155" s="17"/>
      <c r="AB155" s="17"/>
      <c r="AC155" s="17"/>
      <c r="AD155" s="17"/>
    </row>
    <row r="156" spans="1:30" ht="15">
      <c r="A156" s="567">
        <v>5</v>
      </c>
      <c r="B156" s="608" t="s">
        <v>477</v>
      </c>
      <c r="C156" s="518"/>
      <c r="D156" s="518"/>
      <c r="E156" s="592">
        <f t="shared" si="61"/>
        <v>8.387500000000001</v>
      </c>
      <c r="F156" s="600">
        <v>2.46</v>
      </c>
      <c r="G156" s="515">
        <f>SUM(H156:W156)</f>
        <v>5.3740000000000006</v>
      </c>
      <c r="H156" s="601">
        <v>0.7</v>
      </c>
      <c r="I156" s="601"/>
      <c r="J156" s="518"/>
      <c r="K156" s="601">
        <f>(F156+I156)*50%</f>
        <v>1.23</v>
      </c>
      <c r="L156" s="601">
        <f>(F156+I156)*70%</f>
        <v>1.722</v>
      </c>
      <c r="M156" s="601"/>
      <c r="N156" s="603">
        <f>(F156+I156)*70%</f>
        <v>1.722</v>
      </c>
      <c r="O156" s="518"/>
      <c r="P156" s="518"/>
      <c r="Q156" s="601"/>
      <c r="R156" s="518"/>
      <c r="S156" s="605"/>
      <c r="T156" s="518"/>
      <c r="U156" s="606"/>
      <c r="V156" s="606"/>
      <c r="W156" s="518"/>
      <c r="X156" s="601">
        <f>(F156+I156+M156+V156)*22.5%</f>
        <v>0.5535</v>
      </c>
      <c r="Y156" s="2">
        <f>E156*1490000*12</f>
        <v>149968500.00000003</v>
      </c>
      <c r="Z156" s="18"/>
      <c r="AA156" s="17"/>
      <c r="AB156" s="17"/>
      <c r="AC156" s="17"/>
      <c r="AD156" s="17"/>
    </row>
    <row r="157" spans="1:30" ht="15">
      <c r="A157" s="567">
        <v>6</v>
      </c>
      <c r="B157" s="599" t="s">
        <v>478</v>
      </c>
      <c r="C157" s="518"/>
      <c r="D157" s="518"/>
      <c r="E157" s="592">
        <f t="shared" si="61"/>
        <v>8.0125</v>
      </c>
      <c r="F157" s="600">
        <v>2.34</v>
      </c>
      <c r="G157" s="515">
        <f t="shared" si="62"/>
        <v>5.146</v>
      </c>
      <c r="H157" s="601">
        <v>0.7</v>
      </c>
      <c r="I157" s="601"/>
      <c r="J157" s="518"/>
      <c r="K157" s="601">
        <f t="shared" si="63"/>
        <v>1.17</v>
      </c>
      <c r="L157" s="601">
        <f t="shared" si="67"/>
        <v>1.638</v>
      </c>
      <c r="M157" s="601"/>
      <c r="N157" s="603">
        <f t="shared" si="64"/>
        <v>1.638</v>
      </c>
      <c r="O157" s="518"/>
      <c r="P157" s="518"/>
      <c r="Q157" s="601"/>
      <c r="R157" s="518"/>
      <c r="S157" s="605"/>
      <c r="T157" s="518"/>
      <c r="U157" s="601"/>
      <c r="V157" s="601"/>
      <c r="W157" s="518"/>
      <c r="X157" s="601">
        <f t="shared" si="65"/>
        <v>0.5265</v>
      </c>
      <c r="Y157" s="2">
        <f t="shared" si="66"/>
        <v>143263499.99999997</v>
      </c>
      <c r="Z157" s="18"/>
      <c r="AA157" s="17"/>
      <c r="AB157" s="17"/>
      <c r="AC157" s="17"/>
      <c r="AD157" s="17"/>
    </row>
    <row r="158" spans="1:30" ht="15">
      <c r="A158" s="567">
        <v>7</v>
      </c>
      <c r="B158" s="609" t="s">
        <v>35</v>
      </c>
      <c r="C158" s="518"/>
      <c r="D158" s="518"/>
      <c r="E158" s="592">
        <f t="shared" si="61"/>
        <v>8.155825</v>
      </c>
      <c r="F158" s="610">
        <v>2.34</v>
      </c>
      <c r="G158" s="515">
        <f t="shared" si="62"/>
        <v>5.263</v>
      </c>
      <c r="H158" s="601">
        <v>0.7</v>
      </c>
      <c r="I158" s="601"/>
      <c r="J158" s="518"/>
      <c r="K158" s="601">
        <f t="shared" si="63"/>
        <v>1.17</v>
      </c>
      <c r="L158" s="601">
        <f t="shared" si="67"/>
        <v>1.638</v>
      </c>
      <c r="M158" s="601">
        <f>0.05*(F158+I158+J158)</f>
        <v>0.11699999999999999</v>
      </c>
      <c r="N158" s="603">
        <f t="shared" si="64"/>
        <v>1.638</v>
      </c>
      <c r="O158" s="518"/>
      <c r="P158" s="518"/>
      <c r="Q158" s="601"/>
      <c r="R158" s="518"/>
      <c r="S158" s="605"/>
      <c r="T158" s="518"/>
      <c r="U158" s="606"/>
      <c r="V158" s="606"/>
      <c r="W158" s="518"/>
      <c r="X158" s="601">
        <f t="shared" si="65"/>
        <v>0.552825</v>
      </c>
      <c r="Y158" s="2">
        <f t="shared" si="66"/>
        <v>145826151</v>
      </c>
      <c r="Z158" s="18"/>
      <c r="AA158" s="17"/>
      <c r="AB158" s="17"/>
      <c r="AC158" s="17"/>
      <c r="AD158" s="17"/>
    </row>
    <row r="159" spans="1:30" ht="15">
      <c r="A159" s="567">
        <v>8</v>
      </c>
      <c r="B159" s="609" t="s">
        <v>479</v>
      </c>
      <c r="C159" s="518"/>
      <c r="D159" s="518"/>
      <c r="E159" s="592">
        <f t="shared" si="61"/>
        <v>7.900924999999999</v>
      </c>
      <c r="F159" s="610">
        <v>2.26</v>
      </c>
      <c r="G159" s="515">
        <f t="shared" si="62"/>
        <v>5.106999999999999</v>
      </c>
      <c r="H159" s="601">
        <v>0.7</v>
      </c>
      <c r="I159" s="601"/>
      <c r="J159" s="518"/>
      <c r="K159" s="601">
        <f t="shared" si="63"/>
        <v>1.13</v>
      </c>
      <c r="L159" s="601">
        <f t="shared" si="67"/>
        <v>1.5819999999999999</v>
      </c>
      <c r="M159" s="601">
        <f>0.05*(F159+I159+J159)</f>
        <v>0.11299999999999999</v>
      </c>
      <c r="N159" s="603">
        <f t="shared" si="64"/>
        <v>1.5819999999999999</v>
      </c>
      <c r="O159" s="518"/>
      <c r="P159" s="518"/>
      <c r="Q159" s="601"/>
      <c r="R159" s="518"/>
      <c r="S159" s="605"/>
      <c r="T159" s="518"/>
      <c r="U159" s="606"/>
      <c r="V159" s="606"/>
      <c r="W159" s="518"/>
      <c r="X159" s="601">
        <f t="shared" si="65"/>
        <v>0.533925</v>
      </c>
      <c r="Y159" s="2">
        <f t="shared" si="66"/>
        <v>141268538.99999997</v>
      </c>
      <c r="Z159" s="18"/>
      <c r="AA159" s="17"/>
      <c r="AB159" s="17"/>
      <c r="AC159" s="17"/>
      <c r="AD159" s="17"/>
    </row>
    <row r="160" spans="1:30" ht="15">
      <c r="A160" s="567">
        <v>9</v>
      </c>
      <c r="B160" s="609" t="s">
        <v>480</v>
      </c>
      <c r="C160" s="518"/>
      <c r="D160" s="518"/>
      <c r="E160" s="592">
        <f t="shared" si="61"/>
        <v>9.239994999999999</v>
      </c>
      <c r="F160" s="610">
        <v>2.67</v>
      </c>
      <c r="G160" s="515">
        <f t="shared" si="62"/>
        <v>5.933199999999999</v>
      </c>
      <c r="H160" s="601">
        <v>0.7</v>
      </c>
      <c r="I160" s="601"/>
      <c r="J160" s="518"/>
      <c r="K160" s="601">
        <f t="shared" si="63"/>
        <v>1.335</v>
      </c>
      <c r="L160" s="601">
        <f t="shared" si="67"/>
        <v>1.8689999999999998</v>
      </c>
      <c r="M160" s="601">
        <f>0.06*F160</f>
        <v>0.16019999999999998</v>
      </c>
      <c r="N160" s="603">
        <f t="shared" si="64"/>
        <v>1.8689999999999998</v>
      </c>
      <c r="O160" s="518"/>
      <c r="P160" s="518"/>
      <c r="Q160" s="601"/>
      <c r="R160" s="518"/>
      <c r="S160" s="605"/>
      <c r="T160" s="518"/>
      <c r="U160" s="606"/>
      <c r="V160" s="606"/>
      <c r="W160" s="518"/>
      <c r="X160" s="601">
        <f t="shared" si="65"/>
        <v>0.636795</v>
      </c>
      <c r="Y160" s="2">
        <f t="shared" si="66"/>
        <v>165211110.6</v>
      </c>
      <c r="Z160" s="18"/>
      <c r="AA160" s="17"/>
      <c r="AB160" s="17"/>
      <c r="AC160" s="17"/>
      <c r="AD160" s="17"/>
    </row>
    <row r="161" spans="1:30" ht="15">
      <c r="A161" s="567">
        <v>10</v>
      </c>
      <c r="B161" s="608" t="s">
        <v>481</v>
      </c>
      <c r="C161" s="518"/>
      <c r="D161" s="518"/>
      <c r="E161" s="592">
        <f t="shared" si="61"/>
        <v>9.2072875</v>
      </c>
      <c r="F161" s="610">
        <v>2.67</v>
      </c>
      <c r="G161" s="515">
        <f t="shared" si="62"/>
        <v>5.906499999999999</v>
      </c>
      <c r="H161" s="601">
        <v>0.7</v>
      </c>
      <c r="I161" s="601"/>
      <c r="J161" s="518"/>
      <c r="K161" s="601">
        <f t="shared" si="63"/>
        <v>1.335</v>
      </c>
      <c r="L161" s="601">
        <f t="shared" si="67"/>
        <v>1.8689999999999998</v>
      </c>
      <c r="M161" s="601">
        <f>0.05*F161</f>
        <v>0.1335</v>
      </c>
      <c r="N161" s="603">
        <f t="shared" si="64"/>
        <v>1.8689999999999998</v>
      </c>
      <c r="O161" s="518"/>
      <c r="P161" s="518"/>
      <c r="Q161" s="601"/>
      <c r="R161" s="518"/>
      <c r="S161" s="605"/>
      <c r="T161" s="518"/>
      <c r="U161" s="601"/>
      <c r="V161" s="601"/>
      <c r="W161" s="518"/>
      <c r="X161" s="601">
        <f t="shared" si="65"/>
        <v>0.6307875000000001</v>
      </c>
      <c r="Y161" s="2">
        <f t="shared" si="66"/>
        <v>164626300.5</v>
      </c>
      <c r="Z161" s="18"/>
      <c r="AA161" s="17"/>
      <c r="AB161" s="17"/>
      <c r="AC161" s="17"/>
      <c r="AD161" s="17"/>
    </row>
    <row r="162" spans="1:30" ht="15">
      <c r="A162" s="567">
        <v>11</v>
      </c>
      <c r="B162" s="608" t="s">
        <v>482</v>
      </c>
      <c r="C162" s="518"/>
      <c r="D162" s="518"/>
      <c r="E162" s="592">
        <f t="shared" si="61"/>
        <v>8.155825</v>
      </c>
      <c r="F162" s="610">
        <v>2.34</v>
      </c>
      <c r="G162" s="515">
        <f t="shared" si="62"/>
        <v>5.263</v>
      </c>
      <c r="H162" s="601">
        <v>0.7</v>
      </c>
      <c r="I162" s="601"/>
      <c r="J162" s="518"/>
      <c r="K162" s="601">
        <f t="shared" si="63"/>
        <v>1.17</v>
      </c>
      <c r="L162" s="601">
        <f t="shared" si="67"/>
        <v>1.638</v>
      </c>
      <c r="M162" s="601">
        <f>0.05*F162</f>
        <v>0.11699999999999999</v>
      </c>
      <c r="N162" s="603">
        <f t="shared" si="64"/>
        <v>1.638</v>
      </c>
      <c r="O162" s="518"/>
      <c r="P162" s="518"/>
      <c r="Q162" s="601"/>
      <c r="R162" s="518"/>
      <c r="S162" s="605"/>
      <c r="T162" s="518"/>
      <c r="U162" s="606"/>
      <c r="V162" s="606"/>
      <c r="W162" s="518"/>
      <c r="X162" s="601">
        <f t="shared" si="65"/>
        <v>0.552825</v>
      </c>
      <c r="Y162" s="2">
        <f t="shared" si="66"/>
        <v>145826151</v>
      </c>
      <c r="Z162" s="18"/>
      <c r="AA162" s="17"/>
      <c r="AB162" s="17"/>
      <c r="AC162" s="17"/>
      <c r="AD162" s="17"/>
    </row>
    <row r="163" spans="1:30" ht="15">
      <c r="A163" s="567">
        <v>12</v>
      </c>
      <c r="B163" s="608" t="s">
        <v>483</v>
      </c>
      <c r="C163" s="518"/>
      <c r="D163" s="518"/>
      <c r="E163" s="592">
        <f t="shared" si="61"/>
        <v>8.0125</v>
      </c>
      <c r="F163" s="610">
        <v>2.34</v>
      </c>
      <c r="G163" s="515">
        <f t="shared" si="62"/>
        <v>5.146</v>
      </c>
      <c r="H163" s="601">
        <v>0.7</v>
      </c>
      <c r="I163" s="601"/>
      <c r="J163" s="518"/>
      <c r="K163" s="601">
        <f t="shared" si="63"/>
        <v>1.17</v>
      </c>
      <c r="L163" s="601">
        <f t="shared" si="67"/>
        <v>1.638</v>
      </c>
      <c r="M163" s="601"/>
      <c r="N163" s="603">
        <f t="shared" si="64"/>
        <v>1.638</v>
      </c>
      <c r="O163" s="518"/>
      <c r="P163" s="518"/>
      <c r="Q163" s="601"/>
      <c r="R163" s="518"/>
      <c r="S163" s="605"/>
      <c r="T163" s="518"/>
      <c r="U163" s="606"/>
      <c r="V163" s="606"/>
      <c r="W163" s="518"/>
      <c r="X163" s="601">
        <f t="shared" si="65"/>
        <v>0.5265</v>
      </c>
      <c r="Y163" s="2">
        <f t="shared" si="66"/>
        <v>143263499.99999997</v>
      </c>
      <c r="Z163" s="18"/>
      <c r="AA163" s="17"/>
      <c r="AB163" s="17"/>
      <c r="AC163" s="17"/>
      <c r="AD163" s="17"/>
    </row>
    <row r="164" spans="1:30" ht="15">
      <c r="A164" s="567">
        <v>13</v>
      </c>
      <c r="B164" s="608" t="s">
        <v>484</v>
      </c>
      <c r="C164" s="518"/>
      <c r="D164" s="518"/>
      <c r="E164" s="592">
        <f t="shared" si="61"/>
        <v>8.0125</v>
      </c>
      <c r="F164" s="610">
        <v>2.34</v>
      </c>
      <c r="G164" s="515">
        <f t="shared" si="62"/>
        <v>5.146</v>
      </c>
      <c r="H164" s="601">
        <v>0.7</v>
      </c>
      <c r="I164" s="601"/>
      <c r="J164" s="518"/>
      <c r="K164" s="601">
        <f t="shared" si="63"/>
        <v>1.17</v>
      </c>
      <c r="L164" s="601">
        <f t="shared" si="67"/>
        <v>1.638</v>
      </c>
      <c r="M164" s="601"/>
      <c r="N164" s="603">
        <f t="shared" si="64"/>
        <v>1.638</v>
      </c>
      <c r="O164" s="518"/>
      <c r="P164" s="518"/>
      <c r="Q164" s="601"/>
      <c r="R164" s="518"/>
      <c r="S164" s="605"/>
      <c r="T164" s="518"/>
      <c r="U164" s="606"/>
      <c r="V164" s="606"/>
      <c r="W164" s="518"/>
      <c r="X164" s="601">
        <f t="shared" si="65"/>
        <v>0.5265</v>
      </c>
      <c r="Y164" s="2">
        <f t="shared" si="66"/>
        <v>143263499.99999997</v>
      </c>
      <c r="Z164" s="18"/>
      <c r="AA164" s="17"/>
      <c r="AB164" s="17"/>
      <c r="AC164" s="17"/>
      <c r="AD164" s="17"/>
    </row>
    <row r="165" spans="1:30" ht="15">
      <c r="A165" s="567">
        <v>14</v>
      </c>
      <c r="B165" s="608" t="s">
        <v>485</v>
      </c>
      <c r="C165" s="518"/>
      <c r="D165" s="518"/>
      <c r="E165" s="592">
        <f t="shared" si="61"/>
        <v>8.0125</v>
      </c>
      <c r="F165" s="610">
        <v>2.34</v>
      </c>
      <c r="G165" s="515">
        <f t="shared" si="62"/>
        <v>5.146</v>
      </c>
      <c r="H165" s="601">
        <v>0.7</v>
      </c>
      <c r="I165" s="601"/>
      <c r="J165" s="518"/>
      <c r="K165" s="601">
        <f t="shared" si="63"/>
        <v>1.17</v>
      </c>
      <c r="L165" s="601">
        <f t="shared" si="67"/>
        <v>1.638</v>
      </c>
      <c r="M165" s="601"/>
      <c r="N165" s="603">
        <f t="shared" si="64"/>
        <v>1.638</v>
      </c>
      <c r="O165" s="518"/>
      <c r="P165" s="518"/>
      <c r="Q165" s="601"/>
      <c r="R165" s="518"/>
      <c r="S165" s="605"/>
      <c r="T165" s="518"/>
      <c r="U165" s="606"/>
      <c r="V165" s="606"/>
      <c r="W165" s="518"/>
      <c r="X165" s="601">
        <f t="shared" si="65"/>
        <v>0.5265</v>
      </c>
      <c r="Y165" s="2">
        <f t="shared" si="66"/>
        <v>143263499.99999997</v>
      </c>
      <c r="Z165" s="18"/>
      <c r="AA165" s="17"/>
      <c r="AB165" s="17"/>
      <c r="AC165" s="17"/>
      <c r="AD165" s="17"/>
    </row>
    <row r="166" spans="1:30" ht="15">
      <c r="A166" s="567">
        <v>15</v>
      </c>
      <c r="B166" s="609" t="s">
        <v>486</v>
      </c>
      <c r="C166" s="518"/>
      <c r="D166" s="518"/>
      <c r="E166" s="592">
        <f t="shared" si="61"/>
        <v>9.2072875</v>
      </c>
      <c r="F166" s="610">
        <v>2.67</v>
      </c>
      <c r="G166" s="515">
        <f t="shared" si="62"/>
        <v>5.906499999999999</v>
      </c>
      <c r="H166" s="601">
        <v>0.7</v>
      </c>
      <c r="I166" s="601"/>
      <c r="J166" s="518"/>
      <c r="K166" s="601">
        <f t="shared" si="63"/>
        <v>1.335</v>
      </c>
      <c r="L166" s="601">
        <f t="shared" si="67"/>
        <v>1.8689999999999998</v>
      </c>
      <c r="M166" s="601">
        <f>0.05*F166</f>
        <v>0.1335</v>
      </c>
      <c r="N166" s="603">
        <f t="shared" si="64"/>
        <v>1.8689999999999998</v>
      </c>
      <c r="O166" s="518"/>
      <c r="P166" s="518"/>
      <c r="Q166" s="601"/>
      <c r="R166" s="518"/>
      <c r="S166" s="605"/>
      <c r="T166" s="518"/>
      <c r="U166" s="606"/>
      <c r="V166" s="606"/>
      <c r="W166" s="518"/>
      <c r="X166" s="601">
        <f t="shared" si="65"/>
        <v>0.6307875000000001</v>
      </c>
      <c r="Y166" s="2">
        <f t="shared" si="66"/>
        <v>164626300.5</v>
      </c>
      <c r="Z166" s="18"/>
      <c r="AA166" s="17"/>
      <c r="AB166" s="17"/>
      <c r="AC166" s="17"/>
      <c r="AD166" s="17"/>
    </row>
    <row r="167" spans="1:30" ht="15">
      <c r="A167" s="567">
        <v>16</v>
      </c>
      <c r="B167" s="609" t="s">
        <v>487</v>
      </c>
      <c r="C167" s="518"/>
      <c r="D167" s="518"/>
      <c r="E167" s="592">
        <f t="shared" si="61"/>
        <v>7.762499999999999</v>
      </c>
      <c r="F167" s="610">
        <v>2.26</v>
      </c>
      <c r="G167" s="515">
        <f t="shared" si="62"/>
        <v>4.994</v>
      </c>
      <c r="H167" s="601">
        <v>0.7</v>
      </c>
      <c r="I167" s="601"/>
      <c r="J167" s="518"/>
      <c r="K167" s="601">
        <f t="shared" si="63"/>
        <v>1.13</v>
      </c>
      <c r="L167" s="601">
        <f t="shared" si="67"/>
        <v>1.5819999999999999</v>
      </c>
      <c r="M167" s="601"/>
      <c r="N167" s="603">
        <f t="shared" si="64"/>
        <v>1.5819999999999999</v>
      </c>
      <c r="O167" s="518"/>
      <c r="P167" s="518"/>
      <c r="Q167" s="601"/>
      <c r="R167" s="518"/>
      <c r="S167" s="605"/>
      <c r="T167" s="518"/>
      <c r="U167" s="606"/>
      <c r="V167" s="606"/>
      <c r="W167" s="518"/>
      <c r="X167" s="601">
        <f t="shared" si="65"/>
        <v>0.5085</v>
      </c>
      <c r="Y167" s="2">
        <f t="shared" si="66"/>
        <v>138793499.99999997</v>
      </c>
      <c r="Z167" s="18"/>
      <c r="AA167" s="17"/>
      <c r="AB167" s="17"/>
      <c r="AC167" s="17"/>
      <c r="AD167" s="17"/>
    </row>
    <row r="168" spans="1:30" ht="15">
      <c r="A168" s="567">
        <v>17</v>
      </c>
      <c r="B168" s="609" t="s">
        <v>488</v>
      </c>
      <c r="C168" s="518"/>
      <c r="D168" s="518"/>
      <c r="E168" s="592">
        <f t="shared" si="61"/>
        <v>9.04375</v>
      </c>
      <c r="F168" s="610">
        <v>2.67</v>
      </c>
      <c r="G168" s="515">
        <f>SUM(H168:W168)</f>
        <v>5.773</v>
      </c>
      <c r="H168" s="601">
        <v>0.7</v>
      </c>
      <c r="I168" s="601"/>
      <c r="J168" s="518"/>
      <c r="K168" s="601">
        <f>(F168+I168)*50%</f>
        <v>1.335</v>
      </c>
      <c r="L168" s="601">
        <f>(F168+I168)*70%</f>
        <v>1.8689999999999998</v>
      </c>
      <c r="M168" s="601"/>
      <c r="N168" s="603">
        <f>(F168+I168)*70%</f>
        <v>1.8689999999999998</v>
      </c>
      <c r="O168" s="518"/>
      <c r="P168" s="518"/>
      <c r="Q168" s="601"/>
      <c r="R168" s="518"/>
      <c r="S168" s="605"/>
      <c r="T168" s="518"/>
      <c r="U168" s="606"/>
      <c r="V168" s="606"/>
      <c r="W168" s="518"/>
      <c r="X168" s="601">
        <f t="shared" si="65"/>
        <v>0.60075</v>
      </c>
      <c r="Y168" s="2">
        <f>E168*1490000*12</f>
        <v>161702249.99999997</v>
      </c>
      <c r="Z168" s="18"/>
      <c r="AA168" s="17"/>
      <c r="AB168" s="17"/>
      <c r="AC168" s="17"/>
      <c r="AD168" s="17"/>
    </row>
    <row r="169" spans="1:30" ht="15">
      <c r="A169" s="567">
        <v>18</v>
      </c>
      <c r="B169" s="599" t="s">
        <v>489</v>
      </c>
      <c r="C169" s="518"/>
      <c r="D169" s="518"/>
      <c r="E169" s="592">
        <f t="shared" si="61"/>
        <v>7.762499999999999</v>
      </c>
      <c r="F169" s="610">
        <v>2.26</v>
      </c>
      <c r="G169" s="515">
        <f t="shared" si="62"/>
        <v>4.994</v>
      </c>
      <c r="H169" s="601">
        <v>0.7</v>
      </c>
      <c r="I169" s="601"/>
      <c r="J169" s="518"/>
      <c r="K169" s="601">
        <f t="shared" si="63"/>
        <v>1.13</v>
      </c>
      <c r="L169" s="601">
        <f t="shared" si="67"/>
        <v>1.5819999999999999</v>
      </c>
      <c r="M169" s="601"/>
      <c r="N169" s="603">
        <f t="shared" si="64"/>
        <v>1.5819999999999999</v>
      </c>
      <c r="O169" s="518"/>
      <c r="P169" s="518"/>
      <c r="Q169" s="601"/>
      <c r="R169" s="518"/>
      <c r="S169" s="605"/>
      <c r="T169" s="518"/>
      <c r="U169" s="606"/>
      <c r="V169" s="606"/>
      <c r="W169" s="518"/>
      <c r="X169" s="601">
        <f t="shared" si="65"/>
        <v>0.5085</v>
      </c>
      <c r="Y169" s="2">
        <f t="shared" si="66"/>
        <v>138793499.99999997</v>
      </c>
      <c r="Z169" s="18"/>
      <c r="AA169" s="17"/>
      <c r="AB169" s="17"/>
      <c r="AC169" s="17"/>
      <c r="AD169" s="17"/>
    </row>
    <row r="170" spans="1:30" ht="15">
      <c r="A170" s="582"/>
      <c r="B170" s="598"/>
      <c r="C170" s="518"/>
      <c r="D170" s="518"/>
      <c r="E170" s="592"/>
      <c r="F170" s="552"/>
      <c r="G170" s="552"/>
      <c r="H170" s="552"/>
      <c r="I170" s="552"/>
      <c r="J170" s="552"/>
      <c r="K170" s="552"/>
      <c r="L170" s="552"/>
      <c r="M170" s="552"/>
      <c r="N170" s="552"/>
      <c r="O170" s="552"/>
      <c r="P170" s="552"/>
      <c r="Q170" s="552"/>
      <c r="R170" s="552"/>
      <c r="S170" s="552"/>
      <c r="T170" s="552"/>
      <c r="U170" s="552"/>
      <c r="V170" s="552"/>
      <c r="W170" s="552"/>
      <c r="X170" s="552"/>
      <c r="Y170" s="552"/>
      <c r="Z170" s="19"/>
      <c r="AA170" s="17"/>
      <c r="AB170" s="17"/>
      <c r="AC170" s="17"/>
      <c r="AD170" s="17"/>
    </row>
    <row r="171" spans="1:30" ht="15">
      <c r="A171" s="567"/>
      <c r="B171" s="608"/>
      <c r="C171" s="518"/>
      <c r="D171" s="518"/>
      <c r="E171" s="592"/>
      <c r="F171" s="610"/>
      <c r="G171" s="515"/>
      <c r="H171" s="601"/>
      <c r="I171" s="601"/>
      <c r="J171" s="518"/>
      <c r="K171" s="601"/>
      <c r="L171" s="601"/>
      <c r="M171" s="601"/>
      <c r="N171" s="603"/>
      <c r="O171" s="518"/>
      <c r="P171" s="518"/>
      <c r="Q171" s="601"/>
      <c r="R171" s="518"/>
      <c r="S171" s="605"/>
      <c r="T171" s="518"/>
      <c r="U171" s="611"/>
      <c r="V171" s="611"/>
      <c r="W171" s="518"/>
      <c r="X171" s="601"/>
      <c r="Y171" s="2"/>
      <c r="Z171" s="18"/>
      <c r="AA171" s="17"/>
      <c r="AB171" s="17"/>
      <c r="AC171" s="17"/>
      <c r="AD171" s="17"/>
    </row>
    <row r="172" spans="1:30" ht="15">
      <c r="A172" s="567"/>
      <c r="B172" s="608"/>
      <c r="C172" s="518"/>
      <c r="D172" s="518"/>
      <c r="E172" s="592"/>
      <c r="F172" s="610"/>
      <c r="G172" s="515"/>
      <c r="H172" s="601"/>
      <c r="I172" s="601"/>
      <c r="J172" s="518"/>
      <c r="K172" s="601"/>
      <c r="L172" s="601"/>
      <c r="M172" s="601"/>
      <c r="N172" s="603"/>
      <c r="O172" s="518"/>
      <c r="P172" s="518"/>
      <c r="Q172" s="601"/>
      <c r="R172" s="518"/>
      <c r="S172" s="605"/>
      <c r="T172" s="518"/>
      <c r="U172" s="611"/>
      <c r="V172" s="611"/>
      <c r="W172" s="518"/>
      <c r="X172" s="601"/>
      <c r="Y172" s="2"/>
      <c r="Z172" s="18"/>
      <c r="AA172" s="17"/>
      <c r="AB172" s="17"/>
      <c r="AC172" s="17"/>
      <c r="AD172" s="17"/>
    </row>
    <row r="173" spans="1:30" ht="15">
      <c r="A173" s="567"/>
      <c r="B173" s="608"/>
      <c r="C173" s="518"/>
      <c r="D173" s="518"/>
      <c r="E173" s="592"/>
      <c r="F173" s="610"/>
      <c r="G173" s="515"/>
      <c r="H173" s="601"/>
      <c r="I173" s="601"/>
      <c r="J173" s="518"/>
      <c r="K173" s="601"/>
      <c r="L173" s="601"/>
      <c r="M173" s="601"/>
      <c r="N173" s="612"/>
      <c r="O173" s="518"/>
      <c r="P173" s="518"/>
      <c r="Q173" s="601"/>
      <c r="R173" s="518"/>
      <c r="S173" s="605"/>
      <c r="T173" s="518"/>
      <c r="U173" s="611"/>
      <c r="V173" s="611"/>
      <c r="W173" s="518"/>
      <c r="X173" s="601"/>
      <c r="Y173" s="2"/>
      <c r="Z173" s="18"/>
      <c r="AA173" s="17"/>
      <c r="AB173" s="17"/>
      <c r="AC173" s="17"/>
      <c r="AD173" s="17"/>
    </row>
    <row r="174" spans="1:30" ht="15">
      <c r="A174" s="582" t="s">
        <v>490</v>
      </c>
      <c r="B174" s="613" t="s">
        <v>491</v>
      </c>
      <c r="C174" s="518"/>
      <c r="D174" s="518"/>
      <c r="E174" s="591">
        <f>(F174+G174+X174)</f>
        <v>114.8552875</v>
      </c>
      <c r="F174" s="552">
        <f aca="true" t="shared" si="68" ref="F174:Y174">+F175+F182</f>
        <v>61.61</v>
      </c>
      <c r="G174" s="552">
        <f t="shared" si="68"/>
        <v>38.2235</v>
      </c>
      <c r="H174" s="552">
        <f t="shared" si="68"/>
        <v>4.2</v>
      </c>
      <c r="I174" s="552">
        <f t="shared" si="68"/>
        <v>0.8</v>
      </c>
      <c r="J174" s="552">
        <f t="shared" si="68"/>
        <v>0</v>
      </c>
      <c r="K174" s="552">
        <f t="shared" si="68"/>
        <v>10.145000000000001</v>
      </c>
      <c r="L174" s="552">
        <f t="shared" si="68"/>
        <v>5.243</v>
      </c>
      <c r="M174" s="552">
        <f t="shared" si="68"/>
        <v>1.5125</v>
      </c>
      <c r="N174" s="552">
        <f t="shared" si="68"/>
        <v>14.203</v>
      </c>
      <c r="O174" s="552">
        <f t="shared" si="68"/>
        <v>0</v>
      </c>
      <c r="P174" s="552">
        <f t="shared" si="68"/>
        <v>0</v>
      </c>
      <c r="Q174" s="552">
        <f t="shared" si="68"/>
        <v>2</v>
      </c>
      <c r="R174" s="552">
        <f t="shared" si="68"/>
        <v>0</v>
      </c>
      <c r="S174" s="552">
        <f t="shared" si="68"/>
        <v>0</v>
      </c>
      <c r="T174" s="552">
        <f t="shared" si="68"/>
        <v>0</v>
      </c>
      <c r="U174" s="552">
        <f t="shared" si="68"/>
        <v>0.12</v>
      </c>
      <c r="V174" s="552">
        <f t="shared" si="68"/>
        <v>0</v>
      </c>
      <c r="W174" s="552">
        <f t="shared" si="68"/>
        <v>0</v>
      </c>
      <c r="X174" s="552">
        <f t="shared" si="68"/>
        <v>15.021787499999999</v>
      </c>
      <c r="Y174" s="552">
        <f t="shared" si="68"/>
        <v>1878831388.5</v>
      </c>
      <c r="Z174" s="19"/>
      <c r="AA174" s="17"/>
      <c r="AB174" s="17"/>
      <c r="AC174" s="17"/>
      <c r="AD174" s="17"/>
    </row>
    <row r="175" spans="1:30" ht="15">
      <c r="A175" s="582" t="s">
        <v>88</v>
      </c>
      <c r="B175" s="598" t="s">
        <v>75</v>
      </c>
      <c r="C175" s="518">
        <f>33-18</f>
        <v>15</v>
      </c>
      <c r="D175" s="518">
        <v>6</v>
      </c>
      <c r="E175" s="591">
        <f>SUM(E176:E182)</f>
        <v>88.8461875</v>
      </c>
      <c r="F175" s="591">
        <f aca="true" t="shared" si="69" ref="F175:Y175">SUM(F176:F182)</f>
        <v>40.55</v>
      </c>
      <c r="G175" s="591">
        <f t="shared" si="69"/>
        <v>38.2235</v>
      </c>
      <c r="H175" s="591">
        <f t="shared" si="69"/>
        <v>4.2</v>
      </c>
      <c r="I175" s="591">
        <f t="shared" si="69"/>
        <v>0.8</v>
      </c>
      <c r="J175" s="591">
        <f t="shared" si="69"/>
        <v>0</v>
      </c>
      <c r="K175" s="591">
        <f t="shared" si="69"/>
        <v>10.145000000000001</v>
      </c>
      <c r="L175" s="591">
        <f t="shared" si="69"/>
        <v>5.243</v>
      </c>
      <c r="M175" s="591">
        <f t="shared" si="69"/>
        <v>1.5125</v>
      </c>
      <c r="N175" s="591">
        <f t="shared" si="69"/>
        <v>14.203</v>
      </c>
      <c r="O175" s="591">
        <f t="shared" si="69"/>
        <v>0</v>
      </c>
      <c r="P175" s="591">
        <f t="shared" si="69"/>
        <v>0</v>
      </c>
      <c r="Q175" s="591">
        <f t="shared" si="69"/>
        <v>2</v>
      </c>
      <c r="R175" s="591">
        <f t="shared" si="69"/>
        <v>0</v>
      </c>
      <c r="S175" s="591">
        <f t="shared" si="69"/>
        <v>0</v>
      </c>
      <c r="T175" s="591">
        <f t="shared" si="69"/>
        <v>0</v>
      </c>
      <c r="U175" s="591">
        <f t="shared" si="69"/>
        <v>0.12</v>
      </c>
      <c r="V175" s="591">
        <f t="shared" si="69"/>
        <v>0</v>
      </c>
      <c r="W175" s="591">
        <f t="shared" si="69"/>
        <v>0</v>
      </c>
      <c r="X175" s="591">
        <f t="shared" si="69"/>
        <v>10.072687499999999</v>
      </c>
      <c r="Y175" s="591">
        <f t="shared" si="69"/>
        <v>1501179256.5</v>
      </c>
      <c r="Z175" s="19"/>
      <c r="AA175" s="17"/>
      <c r="AB175" s="17"/>
      <c r="AC175" s="17"/>
      <c r="AD175" s="17"/>
    </row>
    <row r="176" spans="1:30" ht="15">
      <c r="A176" s="614">
        <v>1</v>
      </c>
      <c r="B176" s="615" t="s">
        <v>474</v>
      </c>
      <c r="C176" s="527"/>
      <c r="D176" s="527"/>
      <c r="E176" s="616">
        <f aca="true" t="shared" si="70" ref="E176:E181">(F176+G176+X176)</f>
        <v>12.8360625</v>
      </c>
      <c r="F176" s="617">
        <v>4</v>
      </c>
      <c r="G176" s="524">
        <f>SUM(H176:W176)</f>
        <v>7.6875</v>
      </c>
      <c r="H176" s="618">
        <v>0.7</v>
      </c>
      <c r="I176" s="618">
        <v>0.25</v>
      </c>
      <c r="J176" s="526"/>
      <c r="K176" s="618">
        <f>(F176+I176)*50%</f>
        <v>2.125</v>
      </c>
      <c r="L176" s="618"/>
      <c r="M176" s="618">
        <f>(F176+I176)*0.15</f>
        <v>0.6375</v>
      </c>
      <c r="N176" s="618">
        <f>(F176+I176)*70%</f>
        <v>2.9749999999999996</v>
      </c>
      <c r="O176" s="526"/>
      <c r="P176" s="526"/>
      <c r="Q176" s="618">
        <v>1</v>
      </c>
      <c r="R176" s="526"/>
      <c r="S176" s="619"/>
      <c r="T176" s="526"/>
      <c r="U176" s="620"/>
      <c r="V176" s="620"/>
      <c r="W176" s="526"/>
      <c r="X176" s="618">
        <f>(F176+I176+J176+M176)*23.5%</f>
        <v>1.1485625</v>
      </c>
      <c r="Y176" s="528">
        <f t="shared" si="66"/>
        <v>229508797.5</v>
      </c>
      <c r="Z176" s="577"/>
      <c r="AA176" s="578"/>
      <c r="AB176" s="578"/>
      <c r="AC176" s="578"/>
      <c r="AD176" s="578"/>
    </row>
    <row r="177" spans="1:30" ht="15">
      <c r="A177" s="614">
        <v>2</v>
      </c>
      <c r="B177" s="621" t="s">
        <v>492</v>
      </c>
      <c r="C177" s="527"/>
      <c r="D177" s="527"/>
      <c r="E177" s="616">
        <f t="shared" si="70"/>
        <v>12.329474999999999</v>
      </c>
      <c r="F177" s="575">
        <v>4</v>
      </c>
      <c r="G177" s="524">
        <f>H177+I177+J177+K177+L177+M177+N177+O177+P177+Q177+R177+S177+T177+U177+W177</f>
        <v>7.204999999999999</v>
      </c>
      <c r="H177" s="524">
        <v>0.7</v>
      </c>
      <c r="I177" s="524">
        <v>0.35</v>
      </c>
      <c r="J177" s="527"/>
      <c r="K177" s="524">
        <f>0.5*(F177+I177)</f>
        <v>2.175</v>
      </c>
      <c r="L177" s="524"/>
      <c r="M177" s="526">
        <f>0.1*(F177+I177)</f>
        <v>0.435</v>
      </c>
      <c r="N177" s="524">
        <f>0.7*(F177+I177)</f>
        <v>3.0449999999999995</v>
      </c>
      <c r="O177" s="527"/>
      <c r="P177" s="527"/>
      <c r="Q177" s="524">
        <v>0.5</v>
      </c>
      <c r="R177" s="527"/>
      <c r="S177" s="576"/>
      <c r="T177" s="527"/>
      <c r="U177" s="527"/>
      <c r="V177" s="527"/>
      <c r="W177" s="527"/>
      <c r="X177" s="524">
        <f>(F177+I177+M177+U177)*23.5%</f>
        <v>1.1244749999999997</v>
      </c>
      <c r="Y177" s="528">
        <f t="shared" si="66"/>
        <v>220451012.99999994</v>
      </c>
      <c r="Z177" s="622"/>
      <c r="AA177" s="578"/>
      <c r="AB177" s="578"/>
      <c r="AC177" s="578"/>
      <c r="AD177" s="578"/>
    </row>
    <row r="178" spans="1:30" ht="15">
      <c r="A178" s="614">
        <v>3</v>
      </c>
      <c r="B178" s="623" t="s">
        <v>493</v>
      </c>
      <c r="C178" s="527"/>
      <c r="D178" s="527"/>
      <c r="E178" s="616">
        <f t="shared" si="70"/>
        <v>11.4834</v>
      </c>
      <c r="F178" s="617">
        <v>4</v>
      </c>
      <c r="G178" s="524">
        <f>SUM(H178:W178)</f>
        <v>6.4399999999999995</v>
      </c>
      <c r="H178" s="618">
        <v>0.7</v>
      </c>
      <c r="I178" s="618"/>
      <c r="J178" s="526"/>
      <c r="K178" s="618">
        <f>(F178+I178)*50%</f>
        <v>2</v>
      </c>
      <c r="L178" s="618"/>
      <c r="M178" s="618">
        <f>(F178+I178)*0.11</f>
        <v>0.44</v>
      </c>
      <c r="N178" s="618">
        <f>(F178+I178)*70%</f>
        <v>2.8</v>
      </c>
      <c r="O178" s="526"/>
      <c r="P178" s="526"/>
      <c r="Q178" s="618">
        <v>0.5</v>
      </c>
      <c r="R178" s="526"/>
      <c r="S178" s="619"/>
      <c r="T178" s="526"/>
      <c r="U178" s="620"/>
      <c r="V178" s="620"/>
      <c r="W178" s="526"/>
      <c r="X178" s="618">
        <f>(F178+I178+J178+M178)*23.5%</f>
        <v>1.0434</v>
      </c>
      <c r="Y178" s="528">
        <f>E178*1490000*12</f>
        <v>205323192</v>
      </c>
      <c r="Z178" s="577"/>
      <c r="AA178" s="578"/>
      <c r="AB178" s="578"/>
      <c r="AC178" s="578"/>
      <c r="AD178" s="578"/>
    </row>
    <row r="179" spans="1:30" ht="15">
      <c r="A179" s="614">
        <v>4</v>
      </c>
      <c r="B179" s="623" t="s">
        <v>494</v>
      </c>
      <c r="C179" s="527"/>
      <c r="D179" s="527"/>
      <c r="E179" s="616">
        <f t="shared" si="70"/>
        <v>8.742350000000002</v>
      </c>
      <c r="F179" s="617">
        <v>2.41</v>
      </c>
      <c r="G179" s="524">
        <f>SUM(H179:W179)</f>
        <v>5.719</v>
      </c>
      <c r="H179" s="618">
        <v>0.7</v>
      </c>
      <c r="I179" s="618">
        <v>0.2</v>
      </c>
      <c r="J179" s="526"/>
      <c r="K179" s="618">
        <f>(F179+I179)*50%</f>
        <v>1.3050000000000002</v>
      </c>
      <c r="L179" s="618">
        <f>0.7*F179</f>
        <v>1.687</v>
      </c>
      <c r="M179" s="618"/>
      <c r="N179" s="618">
        <f>(F179+I179)*70%</f>
        <v>1.8270000000000002</v>
      </c>
      <c r="O179" s="526"/>
      <c r="P179" s="526"/>
      <c r="Q179" s="618"/>
      <c r="R179" s="526"/>
      <c r="S179" s="619"/>
      <c r="T179" s="526"/>
      <c r="U179" s="620"/>
      <c r="V179" s="620"/>
      <c r="W179" s="526"/>
      <c r="X179" s="618">
        <f>(F179+I179+J179+M179)*23.5%</f>
        <v>0.6133500000000001</v>
      </c>
      <c r="Y179" s="528">
        <f>E179*1490000*12</f>
        <v>156313218.00000003</v>
      </c>
      <c r="Z179" s="577"/>
      <c r="AA179" s="578"/>
      <c r="AB179" s="578"/>
      <c r="AC179" s="578"/>
      <c r="AD179" s="578"/>
    </row>
    <row r="180" spans="1:30" ht="15">
      <c r="A180" s="614">
        <v>5</v>
      </c>
      <c r="B180" s="623" t="s">
        <v>495</v>
      </c>
      <c r="C180" s="527"/>
      <c r="D180" s="527"/>
      <c r="E180" s="616">
        <f t="shared" si="70"/>
        <v>9.190449999999998</v>
      </c>
      <c r="F180" s="617">
        <v>2.67</v>
      </c>
      <c r="G180" s="524">
        <f>SUM(H180:W180)</f>
        <v>5.893</v>
      </c>
      <c r="H180" s="618">
        <v>0.7</v>
      </c>
      <c r="I180" s="618"/>
      <c r="J180" s="526"/>
      <c r="K180" s="618">
        <f>(F180+I180)*50%</f>
        <v>1.335</v>
      </c>
      <c r="L180" s="618">
        <f>0.7*F180</f>
        <v>1.8689999999999998</v>
      </c>
      <c r="M180" s="618"/>
      <c r="N180" s="618">
        <f>(F180+I180)*70%</f>
        <v>1.8689999999999998</v>
      </c>
      <c r="O180" s="526"/>
      <c r="P180" s="526"/>
      <c r="Q180" s="618"/>
      <c r="R180" s="526"/>
      <c r="S180" s="619"/>
      <c r="T180" s="526"/>
      <c r="U180" s="620">
        <v>0.12</v>
      </c>
      <c r="V180" s="620"/>
      <c r="W180" s="526"/>
      <c r="X180" s="618">
        <f>(F180+I180+J180+M180)*23.5%</f>
        <v>0.62745</v>
      </c>
      <c r="Y180" s="528">
        <f>E180*1490000*12</f>
        <v>164325245.99999997</v>
      </c>
      <c r="Z180" s="577"/>
      <c r="AA180" s="578"/>
      <c r="AB180" s="578"/>
      <c r="AC180" s="578"/>
      <c r="AD180" s="578"/>
    </row>
    <row r="181" spans="1:30" ht="15">
      <c r="A181" s="614">
        <v>6</v>
      </c>
      <c r="B181" s="623" t="s">
        <v>496</v>
      </c>
      <c r="C181" s="527"/>
      <c r="D181" s="527"/>
      <c r="E181" s="616">
        <f t="shared" si="70"/>
        <v>8.25535</v>
      </c>
      <c r="F181" s="617">
        <v>2.41</v>
      </c>
      <c r="G181" s="524">
        <f>SUM(H181:W181)</f>
        <v>5.279</v>
      </c>
      <c r="H181" s="618">
        <v>0.7</v>
      </c>
      <c r="I181" s="618"/>
      <c r="J181" s="526"/>
      <c r="K181" s="618">
        <f>(F181+I181)*50%</f>
        <v>1.205</v>
      </c>
      <c r="L181" s="618">
        <f>0.7*F181</f>
        <v>1.687</v>
      </c>
      <c r="M181" s="618"/>
      <c r="N181" s="618">
        <f>(F181+I181)*70%</f>
        <v>1.687</v>
      </c>
      <c r="O181" s="526"/>
      <c r="P181" s="526"/>
      <c r="Q181" s="618"/>
      <c r="R181" s="526"/>
      <c r="S181" s="619"/>
      <c r="T181" s="526"/>
      <c r="U181" s="620"/>
      <c r="V181" s="620"/>
      <c r="W181" s="526"/>
      <c r="X181" s="618">
        <f>(F181+I181+J181+M181)*23.5%</f>
        <v>0.56635</v>
      </c>
      <c r="Y181" s="528">
        <f>E181*1490000*12</f>
        <v>147605658</v>
      </c>
      <c r="Z181" s="577"/>
      <c r="AA181" s="578"/>
      <c r="AB181" s="578"/>
      <c r="AC181" s="578"/>
      <c r="AD181" s="578"/>
    </row>
    <row r="182" spans="1:30" ht="15">
      <c r="A182" s="567">
        <v>7</v>
      </c>
      <c r="B182" s="511" t="s">
        <v>497</v>
      </c>
      <c r="C182" s="518"/>
      <c r="D182" s="518"/>
      <c r="E182" s="592">
        <f>(F182+G182+X182)</f>
        <v>26.009099999999997</v>
      </c>
      <c r="F182" s="624">
        <f>9*2.34</f>
        <v>21.06</v>
      </c>
      <c r="G182" s="515">
        <f>H182+I182+J182+K182+L182+M182+N182+O182+P182+Q182+R182+S182+T182+U182+W182</f>
        <v>0</v>
      </c>
      <c r="H182" s="625"/>
      <c r="I182" s="626"/>
      <c r="J182" s="518"/>
      <c r="K182" s="627"/>
      <c r="L182" s="515"/>
      <c r="M182" s="628"/>
      <c r="N182" s="629"/>
      <c r="O182" s="518"/>
      <c r="P182" s="518"/>
      <c r="Q182" s="515"/>
      <c r="R182" s="518"/>
      <c r="S182" s="605"/>
      <c r="T182" s="518"/>
      <c r="U182" s="625"/>
      <c r="V182" s="625"/>
      <c r="W182" s="625"/>
      <c r="X182" s="515">
        <f>(F182+I182+M182+U182)*0.235</f>
        <v>4.9491</v>
      </c>
      <c r="Y182" s="2">
        <f>E182*1210000*12</f>
        <v>377652131.99999994</v>
      </c>
      <c r="Z182" s="18"/>
      <c r="AA182" s="17"/>
      <c r="AB182" s="17"/>
      <c r="AC182" s="17"/>
      <c r="AD182" s="17"/>
    </row>
    <row r="183" spans="1:30" ht="15">
      <c r="A183" s="582"/>
      <c r="B183" s="608"/>
      <c r="C183" s="518"/>
      <c r="D183" s="518"/>
      <c r="E183" s="592"/>
      <c r="F183" s="610"/>
      <c r="G183" s="515"/>
      <c r="H183" s="601"/>
      <c r="I183" s="601"/>
      <c r="J183" s="517"/>
      <c r="K183" s="601"/>
      <c r="L183" s="601"/>
      <c r="M183" s="601"/>
      <c r="N183" s="601"/>
      <c r="O183" s="517"/>
      <c r="P183" s="517"/>
      <c r="Q183" s="601"/>
      <c r="R183" s="517"/>
      <c r="S183" s="630"/>
      <c r="T183" s="517"/>
      <c r="U183" s="631"/>
      <c r="V183" s="631"/>
      <c r="W183" s="517"/>
      <c r="X183" s="601"/>
      <c r="Y183" s="2"/>
      <c r="Z183" s="18"/>
      <c r="AA183" s="17"/>
      <c r="AB183" s="17"/>
      <c r="AC183" s="17"/>
      <c r="AD183" s="17"/>
    </row>
    <row r="184" spans="1:30" ht="15">
      <c r="A184" s="582"/>
      <c r="B184" s="608"/>
      <c r="C184" s="518"/>
      <c r="D184" s="518"/>
      <c r="E184" s="592"/>
      <c r="F184" s="610"/>
      <c r="G184" s="515"/>
      <c r="H184" s="601"/>
      <c r="I184" s="601"/>
      <c r="J184" s="517"/>
      <c r="K184" s="601"/>
      <c r="L184" s="601"/>
      <c r="M184" s="601"/>
      <c r="N184" s="601"/>
      <c r="O184" s="517"/>
      <c r="P184" s="517"/>
      <c r="Q184" s="601"/>
      <c r="R184" s="517"/>
      <c r="S184" s="630"/>
      <c r="T184" s="517"/>
      <c r="U184" s="631"/>
      <c r="V184" s="631"/>
      <c r="W184" s="517"/>
      <c r="X184" s="601"/>
      <c r="Y184" s="2"/>
      <c r="Z184" s="18"/>
      <c r="AA184" s="17"/>
      <c r="AB184" s="17"/>
      <c r="AC184" s="17"/>
      <c r="AD184" s="17"/>
    </row>
    <row r="185" spans="1:30" ht="15">
      <c r="A185" s="583"/>
      <c r="B185" s="584" t="s">
        <v>435</v>
      </c>
      <c r="C185" s="585"/>
      <c r="D185" s="586"/>
      <c r="E185" s="587">
        <f aca="true" t="shared" si="71" ref="E185:Y185">SUM(E186:E193)</f>
        <v>35.35525</v>
      </c>
      <c r="F185" s="587">
        <f t="shared" si="71"/>
        <v>16.8</v>
      </c>
      <c r="G185" s="587">
        <f t="shared" si="71"/>
        <v>14.524999999999999</v>
      </c>
      <c r="H185" s="587">
        <f t="shared" si="71"/>
        <v>5.6000000000000005</v>
      </c>
      <c r="I185" s="587">
        <f t="shared" si="71"/>
        <v>0.35</v>
      </c>
      <c r="J185" s="587">
        <f t="shared" si="71"/>
        <v>0</v>
      </c>
      <c r="K185" s="587">
        <f t="shared" si="71"/>
        <v>8.575000000000001</v>
      </c>
      <c r="L185" s="587">
        <f t="shared" si="71"/>
        <v>0</v>
      </c>
      <c r="M185" s="587">
        <f t="shared" si="71"/>
        <v>0</v>
      </c>
      <c r="N185" s="587">
        <f t="shared" si="71"/>
        <v>0</v>
      </c>
      <c r="O185" s="587">
        <f t="shared" si="71"/>
        <v>0</v>
      </c>
      <c r="P185" s="587">
        <f t="shared" si="71"/>
        <v>0</v>
      </c>
      <c r="Q185" s="587">
        <f t="shared" si="71"/>
        <v>0</v>
      </c>
      <c r="R185" s="587">
        <f t="shared" si="71"/>
        <v>0</v>
      </c>
      <c r="S185" s="587">
        <f t="shared" si="71"/>
        <v>0</v>
      </c>
      <c r="T185" s="587">
        <f t="shared" si="71"/>
        <v>0</v>
      </c>
      <c r="U185" s="587">
        <f t="shared" si="71"/>
        <v>0</v>
      </c>
      <c r="V185" s="587">
        <f t="shared" si="71"/>
        <v>0</v>
      </c>
      <c r="W185" s="587">
        <f t="shared" si="71"/>
        <v>0</v>
      </c>
      <c r="X185" s="587">
        <f t="shared" si="71"/>
        <v>4.03025</v>
      </c>
      <c r="Y185" s="587">
        <f t="shared" si="71"/>
        <v>632151870</v>
      </c>
      <c r="Z185" s="21"/>
      <c r="AA185" s="20"/>
      <c r="AB185" s="20"/>
      <c r="AC185" s="20"/>
      <c r="AD185" s="20"/>
    </row>
    <row r="186" spans="1:30" ht="15">
      <c r="A186" s="567">
        <v>1</v>
      </c>
      <c r="B186" s="588" t="s">
        <v>498</v>
      </c>
      <c r="C186" s="568"/>
      <c r="D186" s="569"/>
      <c r="E186" s="524">
        <f aca="true" t="shared" si="72" ref="E186:E191">F186+G186+X186</f>
        <v>4.3435</v>
      </c>
      <c r="F186" s="544">
        <v>2.1</v>
      </c>
      <c r="G186" s="524">
        <f aca="true" t="shared" si="73" ref="G186:G191">SUM(H186:W186)</f>
        <v>1.75</v>
      </c>
      <c r="H186" s="524">
        <v>0.7</v>
      </c>
      <c r="I186" s="524"/>
      <c r="J186" s="527"/>
      <c r="K186" s="524">
        <f aca="true" t="shared" si="74" ref="K186:K191">0.5*(F186+I186)</f>
        <v>1.05</v>
      </c>
      <c r="L186" s="524"/>
      <c r="M186" s="524"/>
      <c r="N186" s="524"/>
      <c r="O186" s="527"/>
      <c r="P186" s="527"/>
      <c r="Q186" s="545"/>
      <c r="R186" s="527"/>
      <c r="S186" s="576"/>
      <c r="T186" s="527"/>
      <c r="U186" s="545"/>
      <c r="V186" s="545"/>
      <c r="W186" s="527"/>
      <c r="X186" s="524">
        <f aca="true" t="shared" si="75" ref="X186:X191">(F186+I186+J186+M186+U186)*23.5%</f>
        <v>0.4935</v>
      </c>
      <c r="Y186" s="528">
        <f aca="true" t="shared" si="76" ref="Y186:Y191">E186*1490000*12</f>
        <v>77661780</v>
      </c>
      <c r="Z186" s="18"/>
      <c r="AA186" s="17"/>
      <c r="AB186" s="17"/>
      <c r="AC186" s="17"/>
      <c r="AD186" s="17"/>
    </row>
    <row r="187" spans="1:30" ht="15">
      <c r="A187" s="567">
        <v>2</v>
      </c>
      <c r="B187" s="588" t="s">
        <v>499</v>
      </c>
      <c r="C187" s="568"/>
      <c r="D187" s="569"/>
      <c r="E187" s="524">
        <f t="shared" si="72"/>
        <v>4.3435</v>
      </c>
      <c r="F187" s="544">
        <v>2.1</v>
      </c>
      <c r="G187" s="524">
        <f t="shared" si="73"/>
        <v>1.75</v>
      </c>
      <c r="H187" s="524">
        <v>0.7</v>
      </c>
      <c r="I187" s="524"/>
      <c r="J187" s="527"/>
      <c r="K187" s="524">
        <f t="shared" si="74"/>
        <v>1.05</v>
      </c>
      <c r="L187" s="524"/>
      <c r="M187" s="524"/>
      <c r="N187" s="524"/>
      <c r="O187" s="527"/>
      <c r="P187" s="527"/>
      <c r="Q187" s="545"/>
      <c r="R187" s="527"/>
      <c r="S187" s="576"/>
      <c r="T187" s="527"/>
      <c r="U187" s="545"/>
      <c r="V187" s="545"/>
      <c r="W187" s="527"/>
      <c r="X187" s="524">
        <f t="shared" si="75"/>
        <v>0.4935</v>
      </c>
      <c r="Y187" s="528">
        <f t="shared" si="76"/>
        <v>77661780</v>
      </c>
      <c r="Z187" s="18"/>
      <c r="AA187" s="17"/>
      <c r="AB187" s="17"/>
      <c r="AC187" s="17"/>
      <c r="AD187" s="17"/>
    </row>
    <row r="188" spans="1:30" ht="15">
      <c r="A188" s="567">
        <v>3</v>
      </c>
      <c r="B188" s="588" t="s">
        <v>500</v>
      </c>
      <c r="C188" s="568"/>
      <c r="D188" s="569"/>
      <c r="E188" s="524">
        <f t="shared" si="72"/>
        <v>4.60375</v>
      </c>
      <c r="F188" s="544">
        <v>2.1</v>
      </c>
      <c r="G188" s="524">
        <f t="shared" si="73"/>
        <v>1.975</v>
      </c>
      <c r="H188" s="524">
        <v>0.7</v>
      </c>
      <c r="I188" s="524">
        <v>0.15</v>
      </c>
      <c r="J188" s="527"/>
      <c r="K188" s="524">
        <f t="shared" si="74"/>
        <v>1.125</v>
      </c>
      <c r="L188" s="524"/>
      <c r="M188" s="524"/>
      <c r="N188" s="524"/>
      <c r="O188" s="527"/>
      <c r="P188" s="527"/>
      <c r="Q188" s="545"/>
      <c r="R188" s="527"/>
      <c r="S188" s="576"/>
      <c r="T188" s="527"/>
      <c r="U188" s="545"/>
      <c r="V188" s="545"/>
      <c r="W188" s="527"/>
      <c r="X188" s="524">
        <f t="shared" si="75"/>
        <v>0.5287499999999999</v>
      </c>
      <c r="Y188" s="528">
        <f t="shared" si="76"/>
        <v>82315050</v>
      </c>
      <c r="Z188" s="18"/>
      <c r="AA188" s="17"/>
      <c r="AB188" s="17"/>
      <c r="AC188" s="17"/>
      <c r="AD188" s="17"/>
    </row>
    <row r="189" spans="1:30" ht="15">
      <c r="A189" s="567">
        <v>4</v>
      </c>
      <c r="B189" s="588" t="s">
        <v>501</v>
      </c>
      <c r="C189" s="568"/>
      <c r="D189" s="569"/>
      <c r="E189" s="524">
        <f t="shared" si="72"/>
        <v>4.3435</v>
      </c>
      <c r="F189" s="544">
        <v>2.1</v>
      </c>
      <c r="G189" s="524">
        <f t="shared" si="73"/>
        <v>1.75</v>
      </c>
      <c r="H189" s="524">
        <v>0.7</v>
      </c>
      <c r="I189" s="524"/>
      <c r="J189" s="527"/>
      <c r="K189" s="524">
        <f t="shared" si="74"/>
        <v>1.05</v>
      </c>
      <c r="L189" s="524"/>
      <c r="M189" s="524"/>
      <c r="N189" s="524"/>
      <c r="O189" s="527"/>
      <c r="P189" s="527"/>
      <c r="Q189" s="545"/>
      <c r="R189" s="527"/>
      <c r="S189" s="576"/>
      <c r="T189" s="527"/>
      <c r="U189" s="545"/>
      <c r="V189" s="545"/>
      <c r="W189" s="527"/>
      <c r="X189" s="524">
        <f t="shared" si="75"/>
        <v>0.4935</v>
      </c>
      <c r="Y189" s="528">
        <f t="shared" si="76"/>
        <v>77661780</v>
      </c>
      <c r="Z189" s="18"/>
      <c r="AA189" s="17"/>
      <c r="AB189" s="17"/>
      <c r="AC189" s="17"/>
      <c r="AD189" s="17"/>
    </row>
    <row r="190" spans="1:30" ht="15">
      <c r="A190" s="567">
        <v>5</v>
      </c>
      <c r="B190" s="588" t="s">
        <v>502</v>
      </c>
      <c r="C190" s="568"/>
      <c r="D190" s="569"/>
      <c r="E190" s="524">
        <f t="shared" si="72"/>
        <v>4.6905</v>
      </c>
      <c r="F190" s="544">
        <v>2.1</v>
      </c>
      <c r="G190" s="524">
        <f t="shared" si="73"/>
        <v>2.05</v>
      </c>
      <c r="H190" s="524">
        <v>0.7</v>
      </c>
      <c r="I190" s="524">
        <v>0.2</v>
      </c>
      <c r="J190" s="527"/>
      <c r="K190" s="524">
        <f t="shared" si="74"/>
        <v>1.1500000000000001</v>
      </c>
      <c r="L190" s="524"/>
      <c r="M190" s="524"/>
      <c r="N190" s="524"/>
      <c r="O190" s="527"/>
      <c r="P190" s="527"/>
      <c r="Q190" s="545"/>
      <c r="R190" s="527"/>
      <c r="S190" s="576"/>
      <c r="T190" s="527"/>
      <c r="U190" s="545"/>
      <c r="V190" s="545"/>
      <c r="W190" s="527"/>
      <c r="X190" s="524">
        <f t="shared" si="75"/>
        <v>0.5405</v>
      </c>
      <c r="Y190" s="528">
        <f t="shared" si="76"/>
        <v>83866140</v>
      </c>
      <c r="Z190" s="18"/>
      <c r="AA190" s="17"/>
      <c r="AB190" s="17"/>
      <c r="AC190" s="17"/>
      <c r="AD190" s="17"/>
    </row>
    <row r="191" spans="1:30" ht="15">
      <c r="A191" s="567">
        <v>6</v>
      </c>
      <c r="B191" s="588" t="s">
        <v>503</v>
      </c>
      <c r="C191" s="568"/>
      <c r="D191" s="569"/>
      <c r="E191" s="524">
        <f t="shared" si="72"/>
        <v>4.3435</v>
      </c>
      <c r="F191" s="544">
        <v>2.1</v>
      </c>
      <c r="G191" s="524">
        <f t="shared" si="73"/>
        <v>1.75</v>
      </c>
      <c r="H191" s="524">
        <v>0.7</v>
      </c>
      <c r="I191" s="524"/>
      <c r="J191" s="527"/>
      <c r="K191" s="524">
        <f t="shared" si="74"/>
        <v>1.05</v>
      </c>
      <c r="L191" s="524"/>
      <c r="M191" s="524"/>
      <c r="N191" s="524"/>
      <c r="O191" s="527"/>
      <c r="P191" s="527"/>
      <c r="Q191" s="545"/>
      <c r="R191" s="527"/>
      <c r="S191" s="576"/>
      <c r="T191" s="527"/>
      <c r="U191" s="545"/>
      <c r="V191" s="545"/>
      <c r="W191" s="527"/>
      <c r="X191" s="524">
        <f t="shared" si="75"/>
        <v>0.4935</v>
      </c>
      <c r="Y191" s="528">
        <f t="shared" si="76"/>
        <v>77661780</v>
      </c>
      <c r="Z191" s="18"/>
      <c r="AA191" s="17"/>
      <c r="AB191" s="17"/>
      <c r="AC191" s="17"/>
      <c r="AD191" s="17"/>
    </row>
    <row r="192" spans="1:30" ht="15">
      <c r="A192" s="567">
        <v>7</v>
      </c>
      <c r="B192" s="588" t="s">
        <v>424</v>
      </c>
      <c r="C192" s="568"/>
      <c r="D192" s="569"/>
      <c r="E192" s="524">
        <f>F192+G192+X192</f>
        <v>4.3435</v>
      </c>
      <c r="F192" s="544">
        <v>2.1</v>
      </c>
      <c r="G192" s="524">
        <f>SUM(H192:W192)</f>
        <v>1.75</v>
      </c>
      <c r="H192" s="524">
        <v>0.7</v>
      </c>
      <c r="I192" s="524"/>
      <c r="J192" s="527"/>
      <c r="K192" s="524">
        <f>0.5*(F192+I192)</f>
        <v>1.05</v>
      </c>
      <c r="L192" s="524"/>
      <c r="M192" s="524"/>
      <c r="N192" s="524"/>
      <c r="O192" s="527"/>
      <c r="P192" s="527"/>
      <c r="Q192" s="545"/>
      <c r="R192" s="527"/>
      <c r="S192" s="576"/>
      <c r="T192" s="527"/>
      <c r="U192" s="545"/>
      <c r="V192" s="545"/>
      <c r="W192" s="527"/>
      <c r="X192" s="524">
        <f>(F192+I192+J192+M192+U192)*23.5%</f>
        <v>0.4935</v>
      </c>
      <c r="Y192" s="528">
        <f>E192*1490000*12</f>
        <v>77661780</v>
      </c>
      <c r="Z192" s="18"/>
      <c r="AA192" s="17"/>
      <c r="AB192" s="17"/>
      <c r="AC192" s="17"/>
      <c r="AD192" s="17"/>
    </row>
    <row r="193" spans="1:30" ht="15">
      <c r="A193" s="567">
        <v>8</v>
      </c>
      <c r="B193" s="588" t="s">
        <v>504</v>
      </c>
      <c r="C193" s="568"/>
      <c r="D193" s="569"/>
      <c r="E193" s="524">
        <f>F193+G193+X193</f>
        <v>4.3435</v>
      </c>
      <c r="F193" s="544">
        <v>2.1</v>
      </c>
      <c r="G193" s="524">
        <f>SUM(H193:W193)</f>
        <v>1.75</v>
      </c>
      <c r="H193" s="524">
        <v>0.7</v>
      </c>
      <c r="I193" s="524"/>
      <c r="J193" s="527"/>
      <c r="K193" s="524">
        <f>0.5*(F193+I193)</f>
        <v>1.05</v>
      </c>
      <c r="L193" s="524"/>
      <c r="M193" s="524"/>
      <c r="N193" s="524"/>
      <c r="O193" s="527"/>
      <c r="P193" s="527"/>
      <c r="Q193" s="545"/>
      <c r="R193" s="527"/>
      <c r="S193" s="576"/>
      <c r="T193" s="527"/>
      <c r="U193" s="545"/>
      <c r="V193" s="545"/>
      <c r="W193" s="527"/>
      <c r="X193" s="524">
        <f>(F193+I193+J193+M193+U193)*23.5%</f>
        <v>0.4935</v>
      </c>
      <c r="Y193" s="528">
        <f>E193*1490000*12</f>
        <v>77661780</v>
      </c>
      <c r="Z193" s="18"/>
      <c r="AA193" s="17"/>
      <c r="AB193" s="17"/>
      <c r="AC193" s="17"/>
      <c r="AD193" s="17"/>
    </row>
    <row r="194" spans="1:30" ht="15">
      <c r="A194" s="582"/>
      <c r="B194" s="608"/>
      <c r="C194" s="518"/>
      <c r="D194" s="518"/>
      <c r="E194" s="592"/>
      <c r="F194" s="610"/>
      <c r="G194" s="515"/>
      <c r="H194" s="601"/>
      <c r="I194" s="601"/>
      <c r="J194" s="517"/>
      <c r="K194" s="601"/>
      <c r="L194" s="601"/>
      <c r="M194" s="601"/>
      <c r="N194" s="601"/>
      <c r="O194" s="517"/>
      <c r="P194" s="517"/>
      <c r="Q194" s="601"/>
      <c r="R194" s="517"/>
      <c r="S194" s="630"/>
      <c r="T194" s="517"/>
      <c r="U194" s="631"/>
      <c r="V194" s="631"/>
      <c r="W194" s="517"/>
      <c r="X194" s="601"/>
      <c r="Y194" s="2"/>
      <c r="Z194" s="18"/>
      <c r="AA194" s="17"/>
      <c r="AB194" s="17"/>
      <c r="AC194" s="17"/>
      <c r="AD194" s="17"/>
    </row>
    <row r="195" spans="1:30" ht="15">
      <c r="A195" s="582"/>
      <c r="B195" s="608"/>
      <c r="C195" s="518"/>
      <c r="D195" s="518"/>
      <c r="E195" s="592"/>
      <c r="F195" s="610"/>
      <c r="G195" s="515"/>
      <c r="H195" s="601"/>
      <c r="I195" s="601"/>
      <c r="J195" s="517"/>
      <c r="K195" s="601"/>
      <c r="L195" s="601"/>
      <c r="M195" s="601"/>
      <c r="N195" s="601"/>
      <c r="O195" s="517"/>
      <c r="P195" s="517"/>
      <c r="Q195" s="601"/>
      <c r="R195" s="517"/>
      <c r="S195" s="630"/>
      <c r="T195" s="517"/>
      <c r="U195" s="631"/>
      <c r="V195" s="631"/>
      <c r="W195" s="517"/>
      <c r="X195" s="601"/>
      <c r="Y195" s="2"/>
      <c r="Z195" s="18"/>
      <c r="AA195" s="17"/>
      <c r="AB195" s="17"/>
      <c r="AC195" s="17"/>
      <c r="AD195" s="17"/>
    </row>
    <row r="196" spans="1:30" ht="15">
      <c r="A196" s="582"/>
      <c r="B196" s="608"/>
      <c r="C196" s="518"/>
      <c r="D196" s="518"/>
      <c r="E196" s="592"/>
      <c r="F196" s="610"/>
      <c r="G196" s="515"/>
      <c r="H196" s="601"/>
      <c r="I196" s="601"/>
      <c r="J196" s="517"/>
      <c r="K196" s="601"/>
      <c r="L196" s="601"/>
      <c r="M196" s="601"/>
      <c r="N196" s="601"/>
      <c r="O196" s="517"/>
      <c r="P196" s="517"/>
      <c r="Q196" s="601"/>
      <c r="R196" s="517"/>
      <c r="S196" s="630"/>
      <c r="T196" s="517"/>
      <c r="U196" s="631"/>
      <c r="V196" s="631"/>
      <c r="W196" s="517"/>
      <c r="X196" s="601"/>
      <c r="Y196" s="2"/>
      <c r="Z196" s="18"/>
      <c r="AA196" s="17"/>
      <c r="AB196" s="17"/>
      <c r="AC196" s="17"/>
      <c r="AD196" s="17"/>
    </row>
    <row r="197" spans="1:30" ht="15">
      <c r="A197" s="582"/>
      <c r="B197" s="608"/>
      <c r="C197" s="518"/>
      <c r="D197" s="518"/>
      <c r="E197" s="592"/>
      <c r="F197" s="610"/>
      <c r="G197" s="515"/>
      <c r="H197" s="601"/>
      <c r="I197" s="601"/>
      <c r="J197" s="517"/>
      <c r="K197" s="601"/>
      <c r="L197" s="601"/>
      <c r="M197" s="601"/>
      <c r="N197" s="601"/>
      <c r="O197" s="517"/>
      <c r="P197" s="517"/>
      <c r="Q197" s="601"/>
      <c r="R197" s="517"/>
      <c r="S197" s="630"/>
      <c r="T197" s="517"/>
      <c r="U197" s="631"/>
      <c r="V197" s="631"/>
      <c r="W197" s="517"/>
      <c r="X197" s="601"/>
      <c r="Y197" s="2"/>
      <c r="Z197" s="18"/>
      <c r="AA197" s="17"/>
      <c r="AB197" s="17"/>
      <c r="AC197" s="17"/>
      <c r="AD197" s="17"/>
    </row>
    <row r="198" spans="1:30" ht="15">
      <c r="A198" s="14" t="s">
        <v>505</v>
      </c>
      <c r="B198" s="596" t="s">
        <v>506</v>
      </c>
      <c r="C198" s="552">
        <f>+C199</f>
        <v>27</v>
      </c>
      <c r="D198" s="552">
        <f>+D199</f>
        <v>13</v>
      </c>
      <c r="E198" s="591">
        <f aca="true" t="shared" si="77" ref="E198:Y198">+E199+E213</f>
        <v>212.41540849999996</v>
      </c>
      <c r="F198" s="591">
        <f t="shared" si="77"/>
        <v>104.1</v>
      </c>
      <c r="G198" s="591">
        <f t="shared" si="77"/>
        <v>82.97509999999997</v>
      </c>
      <c r="H198" s="591">
        <f t="shared" si="77"/>
        <v>9.1</v>
      </c>
      <c r="I198" s="591">
        <f t="shared" si="77"/>
        <v>1</v>
      </c>
      <c r="J198" s="591">
        <f t="shared" si="77"/>
        <v>0</v>
      </c>
      <c r="K198" s="591">
        <f t="shared" si="77"/>
        <v>19.79</v>
      </c>
      <c r="L198" s="591">
        <f t="shared" si="77"/>
        <v>21.447999999999993</v>
      </c>
      <c r="M198" s="591">
        <f t="shared" si="77"/>
        <v>2.7311</v>
      </c>
      <c r="N198" s="591">
        <f t="shared" si="77"/>
        <v>27.706000000000003</v>
      </c>
      <c r="O198" s="591">
        <f t="shared" si="77"/>
        <v>0</v>
      </c>
      <c r="P198" s="591">
        <f t="shared" si="77"/>
        <v>0</v>
      </c>
      <c r="Q198" s="591">
        <f t="shared" si="77"/>
        <v>1.2</v>
      </c>
      <c r="R198" s="591">
        <f t="shared" si="77"/>
        <v>0</v>
      </c>
      <c r="S198" s="591">
        <f t="shared" si="77"/>
        <v>0</v>
      </c>
      <c r="T198" s="591">
        <f t="shared" si="77"/>
        <v>0</v>
      </c>
      <c r="U198" s="591">
        <f t="shared" si="77"/>
        <v>0</v>
      </c>
      <c r="V198" s="591">
        <f t="shared" si="77"/>
        <v>0</v>
      </c>
      <c r="W198" s="591">
        <f t="shared" si="77"/>
        <v>0</v>
      </c>
      <c r="X198" s="591">
        <f t="shared" si="77"/>
        <v>25.340308499999995</v>
      </c>
      <c r="Y198" s="591">
        <f t="shared" si="77"/>
        <v>3797987503.98</v>
      </c>
      <c r="Z198" s="563"/>
      <c r="AA198" s="17"/>
      <c r="AB198" s="17"/>
      <c r="AC198" s="17"/>
      <c r="AD198" s="17"/>
    </row>
    <row r="199" spans="1:30" ht="15">
      <c r="A199" s="582"/>
      <c r="B199" s="632" t="s">
        <v>75</v>
      </c>
      <c r="C199" s="518">
        <f>46-19</f>
        <v>27</v>
      </c>
      <c r="D199" s="518">
        <v>13</v>
      </c>
      <c r="E199" s="552">
        <f>SUM(E200:E214)</f>
        <v>171.95680849999997</v>
      </c>
      <c r="F199" s="552">
        <f aca="true" t="shared" si="78" ref="F199:Y199">SUM(F200:F214)</f>
        <v>71.34</v>
      </c>
      <c r="G199" s="552">
        <f t="shared" si="78"/>
        <v>82.97509999999997</v>
      </c>
      <c r="H199" s="552">
        <f t="shared" si="78"/>
        <v>9.1</v>
      </c>
      <c r="I199" s="552">
        <f t="shared" si="78"/>
        <v>1</v>
      </c>
      <c r="J199" s="552">
        <f t="shared" si="78"/>
        <v>0</v>
      </c>
      <c r="K199" s="552">
        <f t="shared" si="78"/>
        <v>19.79</v>
      </c>
      <c r="L199" s="552">
        <f t="shared" si="78"/>
        <v>21.447999999999993</v>
      </c>
      <c r="M199" s="552">
        <f t="shared" si="78"/>
        <v>2.7311</v>
      </c>
      <c r="N199" s="552">
        <f t="shared" si="78"/>
        <v>27.706000000000003</v>
      </c>
      <c r="O199" s="552">
        <f t="shared" si="78"/>
        <v>0</v>
      </c>
      <c r="P199" s="552">
        <f t="shared" si="78"/>
        <v>0</v>
      </c>
      <c r="Q199" s="552">
        <f t="shared" si="78"/>
        <v>1.2</v>
      </c>
      <c r="R199" s="552">
        <f t="shared" si="78"/>
        <v>0</v>
      </c>
      <c r="S199" s="552">
        <f t="shared" si="78"/>
        <v>0</v>
      </c>
      <c r="T199" s="552">
        <f t="shared" si="78"/>
        <v>0</v>
      </c>
      <c r="U199" s="552">
        <f t="shared" si="78"/>
        <v>0</v>
      </c>
      <c r="V199" s="552">
        <f t="shared" si="78"/>
        <v>0</v>
      </c>
      <c r="W199" s="552">
        <f t="shared" si="78"/>
        <v>0</v>
      </c>
      <c r="X199" s="552">
        <f t="shared" si="78"/>
        <v>17.641708499999996</v>
      </c>
      <c r="Y199" s="552">
        <f t="shared" si="78"/>
        <v>3074587735.98</v>
      </c>
      <c r="Z199" s="19"/>
      <c r="AA199" s="17"/>
      <c r="AB199" s="17"/>
      <c r="AC199" s="17"/>
      <c r="AD199" s="17"/>
    </row>
    <row r="200" spans="1:30" ht="15">
      <c r="A200" s="571">
        <v>1</v>
      </c>
      <c r="B200" s="633" t="s">
        <v>507</v>
      </c>
      <c r="C200" s="527"/>
      <c r="D200" s="527"/>
      <c r="E200" s="616">
        <f aca="true" t="shared" si="79" ref="E200:E240">(F200+G200+X200)</f>
        <v>13.77858</v>
      </c>
      <c r="F200" s="575">
        <v>4.34</v>
      </c>
      <c r="G200" s="524">
        <f>H200+I200+J200+K200+L200+M200+N200+O200+P200+Q200+R200+S200+T200+U200+W200</f>
        <v>8.116</v>
      </c>
      <c r="H200" s="524">
        <v>0.7</v>
      </c>
      <c r="I200" s="524">
        <v>0.35</v>
      </c>
      <c r="J200" s="527"/>
      <c r="K200" s="524">
        <f>0.5*(F200+I200)</f>
        <v>2.3449999999999998</v>
      </c>
      <c r="L200" s="524"/>
      <c r="M200" s="526">
        <f>0.2*(F200+I200)</f>
        <v>0.938</v>
      </c>
      <c r="N200" s="524">
        <f>0.7*(F200+I200)</f>
        <v>3.2829999999999995</v>
      </c>
      <c r="O200" s="527"/>
      <c r="P200" s="527"/>
      <c r="Q200" s="524">
        <v>0.5</v>
      </c>
      <c r="R200" s="527"/>
      <c r="S200" s="576"/>
      <c r="T200" s="527"/>
      <c r="U200" s="527"/>
      <c r="V200" s="527"/>
      <c r="W200" s="527"/>
      <c r="X200" s="524">
        <f>(F200+I200+M200+U200)*23.5%</f>
        <v>1.3225799999999996</v>
      </c>
      <c r="Y200" s="528">
        <f>E200*1490000*12</f>
        <v>246361010.39999998</v>
      </c>
      <c r="Z200" s="622"/>
      <c r="AA200" s="578"/>
      <c r="AB200" s="578"/>
      <c r="AC200" s="578"/>
      <c r="AD200" s="578"/>
    </row>
    <row r="201" spans="1:30" ht="15">
      <c r="A201" s="571">
        <v>2</v>
      </c>
      <c r="B201" s="633" t="s">
        <v>508</v>
      </c>
      <c r="C201" s="527"/>
      <c r="D201" s="527"/>
      <c r="E201" s="616">
        <f>(F201+G201+X201)</f>
        <v>12.5360625</v>
      </c>
      <c r="F201" s="575">
        <v>4</v>
      </c>
      <c r="G201" s="524">
        <f>H201+I201+J201+K201+L201+M201+N201+O201+P201+Q201+R201+S201+T201+U201+W201</f>
        <v>7.3875</v>
      </c>
      <c r="H201" s="524">
        <v>0.7</v>
      </c>
      <c r="I201" s="524">
        <v>0.25</v>
      </c>
      <c r="J201" s="527"/>
      <c r="K201" s="524">
        <f>0.5*(F201+I201)</f>
        <v>2.125</v>
      </c>
      <c r="L201" s="524"/>
      <c r="M201" s="526">
        <f>0.15*(F201+I201)</f>
        <v>0.6375</v>
      </c>
      <c r="N201" s="524">
        <f>0.7*(F201+I201)</f>
        <v>2.9749999999999996</v>
      </c>
      <c r="O201" s="527"/>
      <c r="P201" s="527"/>
      <c r="Q201" s="524">
        <v>0.7</v>
      </c>
      <c r="R201" s="527"/>
      <c r="S201" s="576"/>
      <c r="T201" s="527"/>
      <c r="U201" s="527"/>
      <c r="V201" s="527"/>
      <c r="W201" s="527"/>
      <c r="X201" s="524">
        <f>(F201+I201+M201+U201)*23.5%</f>
        <v>1.1485625</v>
      </c>
      <c r="Y201" s="528">
        <f>E201*1490000*12</f>
        <v>224144797.5</v>
      </c>
      <c r="Z201" s="622"/>
      <c r="AA201" s="578"/>
      <c r="AB201" s="578"/>
      <c r="AC201" s="578"/>
      <c r="AD201" s="578"/>
    </row>
    <row r="202" spans="1:30" ht="15">
      <c r="A202" s="571">
        <v>3</v>
      </c>
      <c r="B202" s="633" t="s">
        <v>509</v>
      </c>
      <c r="C202" s="527"/>
      <c r="D202" s="527"/>
      <c r="E202" s="616">
        <f t="shared" si="79"/>
        <v>12.897316000000002</v>
      </c>
      <c r="F202" s="575">
        <v>3.66</v>
      </c>
      <c r="G202" s="634">
        <f aca="true" t="shared" si="80" ref="G202:G240">H202+I202+J202+K202+L202+M202+N202+O202+P202+Q202+R202+S202+T202+U202+W202</f>
        <v>8.239600000000001</v>
      </c>
      <c r="H202" s="524">
        <v>0.7</v>
      </c>
      <c r="I202" s="524"/>
      <c r="J202" s="527"/>
      <c r="K202" s="524">
        <f aca="true" t="shared" si="81" ref="K202:K212">0.5*(F202+I202)</f>
        <v>1.83</v>
      </c>
      <c r="L202" s="524">
        <f>0.7*(F202+I202)</f>
        <v>2.562</v>
      </c>
      <c r="M202" s="526">
        <f>0.16*(F202+I202)</f>
        <v>0.5856</v>
      </c>
      <c r="N202" s="524">
        <f aca="true" t="shared" si="82" ref="N202:N212">0.7*(F202+I202)</f>
        <v>2.562</v>
      </c>
      <c r="O202" s="527"/>
      <c r="P202" s="527"/>
      <c r="Q202" s="524"/>
      <c r="R202" s="527"/>
      <c r="S202" s="576"/>
      <c r="T202" s="527"/>
      <c r="U202" s="527"/>
      <c r="V202" s="527"/>
      <c r="W202" s="527"/>
      <c r="X202" s="524">
        <f aca="true" t="shared" si="83" ref="X202:X212">(F202+I202+M202+U202)*23.5%</f>
        <v>0.997716</v>
      </c>
      <c r="Y202" s="528">
        <f aca="true" t="shared" si="84" ref="Y202:Y212">E202*1490000*12</f>
        <v>230604010.08000004</v>
      </c>
      <c r="Z202" s="622"/>
      <c r="AA202" s="578"/>
      <c r="AB202" s="578"/>
      <c r="AC202" s="578"/>
      <c r="AD202" s="578"/>
    </row>
    <row r="203" spans="1:30" ht="15">
      <c r="A203" s="571">
        <v>4</v>
      </c>
      <c r="B203" s="633" t="s">
        <v>510</v>
      </c>
      <c r="C203" s="527"/>
      <c r="D203" s="527"/>
      <c r="E203" s="616">
        <f t="shared" si="79"/>
        <v>9.07045</v>
      </c>
      <c r="F203" s="575">
        <v>2.67</v>
      </c>
      <c r="G203" s="524">
        <f t="shared" si="80"/>
        <v>5.773</v>
      </c>
      <c r="H203" s="524">
        <v>0.7</v>
      </c>
      <c r="I203" s="524"/>
      <c r="J203" s="527"/>
      <c r="K203" s="524">
        <f t="shared" si="81"/>
        <v>1.335</v>
      </c>
      <c r="L203" s="524">
        <f aca="true" t="shared" si="85" ref="L203:L212">0.7*(F203+I203)</f>
        <v>1.8689999999999998</v>
      </c>
      <c r="M203" s="527"/>
      <c r="N203" s="524">
        <f t="shared" si="82"/>
        <v>1.8689999999999998</v>
      </c>
      <c r="O203" s="527"/>
      <c r="P203" s="527"/>
      <c r="Q203" s="524"/>
      <c r="R203" s="527"/>
      <c r="S203" s="576"/>
      <c r="T203" s="527"/>
      <c r="U203" s="527"/>
      <c r="V203" s="527"/>
      <c r="W203" s="527"/>
      <c r="X203" s="524">
        <f t="shared" si="83"/>
        <v>0.62745</v>
      </c>
      <c r="Y203" s="528">
        <f t="shared" si="84"/>
        <v>162179645.99999997</v>
      </c>
      <c r="Z203" s="622"/>
      <c r="AA203" s="578"/>
      <c r="AB203" s="578"/>
      <c r="AC203" s="578"/>
      <c r="AD203" s="578"/>
    </row>
    <row r="204" spans="1:30" ht="15">
      <c r="A204" s="571">
        <v>5</v>
      </c>
      <c r="B204" s="633" t="s">
        <v>511</v>
      </c>
      <c r="C204" s="527"/>
      <c r="D204" s="527"/>
      <c r="E204" s="616">
        <f t="shared" si="79"/>
        <v>8.0359</v>
      </c>
      <c r="F204" s="575">
        <v>2.34</v>
      </c>
      <c r="G204" s="524">
        <f t="shared" si="80"/>
        <v>5.146</v>
      </c>
      <c r="H204" s="524">
        <v>0.7</v>
      </c>
      <c r="I204" s="524"/>
      <c r="J204" s="527"/>
      <c r="K204" s="524">
        <f t="shared" si="81"/>
        <v>1.17</v>
      </c>
      <c r="L204" s="524">
        <f t="shared" si="85"/>
        <v>1.638</v>
      </c>
      <c r="M204" s="527"/>
      <c r="N204" s="524">
        <f t="shared" si="82"/>
        <v>1.638</v>
      </c>
      <c r="O204" s="527"/>
      <c r="P204" s="527"/>
      <c r="Q204" s="524"/>
      <c r="R204" s="527"/>
      <c r="S204" s="576"/>
      <c r="T204" s="527"/>
      <c r="U204" s="527"/>
      <c r="V204" s="527"/>
      <c r="W204" s="527"/>
      <c r="X204" s="524">
        <f t="shared" si="83"/>
        <v>0.5498999999999999</v>
      </c>
      <c r="Y204" s="528">
        <f t="shared" si="84"/>
        <v>143681892</v>
      </c>
      <c r="Z204" s="622"/>
      <c r="AA204" s="578"/>
      <c r="AB204" s="578"/>
      <c r="AC204" s="578"/>
      <c r="AD204" s="578"/>
    </row>
    <row r="205" spans="1:30" ht="15">
      <c r="A205" s="571">
        <v>6</v>
      </c>
      <c r="B205" s="635" t="s">
        <v>512</v>
      </c>
      <c r="C205" s="527"/>
      <c r="D205" s="527"/>
      <c r="E205" s="616">
        <f t="shared" si="79"/>
        <v>10.991349999999999</v>
      </c>
      <c r="F205" s="575">
        <v>3</v>
      </c>
      <c r="G205" s="524">
        <f t="shared" si="80"/>
        <v>7.1899999999999995</v>
      </c>
      <c r="H205" s="524">
        <v>0.7</v>
      </c>
      <c r="I205" s="524">
        <v>0.2</v>
      </c>
      <c r="J205" s="527"/>
      <c r="K205" s="524">
        <f t="shared" si="81"/>
        <v>1.6</v>
      </c>
      <c r="L205" s="524">
        <f t="shared" si="85"/>
        <v>2.2399999999999998</v>
      </c>
      <c r="M205" s="527">
        <f>0.07*F205</f>
        <v>0.21000000000000002</v>
      </c>
      <c r="N205" s="524">
        <f t="shared" si="82"/>
        <v>2.2399999999999998</v>
      </c>
      <c r="O205" s="527"/>
      <c r="P205" s="527"/>
      <c r="Q205" s="524"/>
      <c r="R205" s="527"/>
      <c r="S205" s="576"/>
      <c r="T205" s="527"/>
      <c r="U205" s="527"/>
      <c r="V205" s="527"/>
      <c r="W205" s="527"/>
      <c r="X205" s="524">
        <f t="shared" si="83"/>
        <v>0.80135</v>
      </c>
      <c r="Y205" s="528">
        <f t="shared" si="84"/>
        <v>196525337.99999997</v>
      </c>
      <c r="Z205" s="622"/>
      <c r="AA205" s="578"/>
      <c r="AB205" s="578"/>
      <c r="AC205" s="578"/>
      <c r="AD205" s="578"/>
    </row>
    <row r="206" spans="1:30" ht="15">
      <c r="A206" s="571">
        <v>7</v>
      </c>
      <c r="B206" s="636" t="s">
        <v>513</v>
      </c>
      <c r="C206" s="527"/>
      <c r="D206" s="527"/>
      <c r="E206" s="616">
        <f t="shared" si="79"/>
        <v>9.07045</v>
      </c>
      <c r="F206" s="575">
        <v>2.67</v>
      </c>
      <c r="G206" s="524">
        <f t="shared" si="80"/>
        <v>5.773</v>
      </c>
      <c r="H206" s="524">
        <v>0.7</v>
      </c>
      <c r="I206" s="524"/>
      <c r="J206" s="527"/>
      <c r="K206" s="524">
        <f t="shared" si="81"/>
        <v>1.335</v>
      </c>
      <c r="L206" s="524">
        <f t="shared" si="85"/>
        <v>1.8689999999999998</v>
      </c>
      <c r="M206" s="527"/>
      <c r="N206" s="524">
        <f t="shared" si="82"/>
        <v>1.8689999999999998</v>
      </c>
      <c r="O206" s="527"/>
      <c r="P206" s="527"/>
      <c r="Q206" s="524"/>
      <c r="R206" s="527"/>
      <c r="S206" s="576"/>
      <c r="T206" s="524"/>
      <c r="U206" s="524"/>
      <c r="V206" s="524"/>
      <c r="W206" s="524"/>
      <c r="X206" s="524">
        <f t="shared" si="83"/>
        <v>0.62745</v>
      </c>
      <c r="Y206" s="528">
        <f t="shared" si="84"/>
        <v>162179645.99999997</v>
      </c>
      <c r="Z206" s="622"/>
      <c r="AA206" s="578"/>
      <c r="AB206" s="578"/>
      <c r="AC206" s="578"/>
      <c r="AD206" s="578"/>
    </row>
    <row r="207" spans="1:30" ht="15">
      <c r="A207" s="571">
        <v>8</v>
      </c>
      <c r="B207" s="637" t="s">
        <v>514</v>
      </c>
      <c r="C207" s="527"/>
      <c r="D207" s="527"/>
      <c r="E207" s="616">
        <f t="shared" si="79"/>
        <v>8.25535</v>
      </c>
      <c r="F207" s="575">
        <v>2.41</v>
      </c>
      <c r="G207" s="524">
        <f t="shared" si="80"/>
        <v>5.279</v>
      </c>
      <c r="H207" s="524">
        <v>0.7</v>
      </c>
      <c r="I207" s="524"/>
      <c r="J207" s="527"/>
      <c r="K207" s="524">
        <f t="shared" si="81"/>
        <v>1.205</v>
      </c>
      <c r="L207" s="524">
        <f t="shared" si="85"/>
        <v>1.687</v>
      </c>
      <c r="M207" s="527"/>
      <c r="N207" s="524">
        <f t="shared" si="82"/>
        <v>1.687</v>
      </c>
      <c r="O207" s="527"/>
      <c r="P207" s="527"/>
      <c r="Q207" s="524"/>
      <c r="R207" s="527"/>
      <c r="S207" s="576"/>
      <c r="T207" s="524"/>
      <c r="U207" s="524"/>
      <c r="V207" s="524"/>
      <c r="W207" s="524"/>
      <c r="X207" s="524">
        <f t="shared" si="83"/>
        <v>0.56635</v>
      </c>
      <c r="Y207" s="528">
        <f t="shared" si="84"/>
        <v>147605658</v>
      </c>
      <c r="Z207" s="622"/>
      <c r="AA207" s="578"/>
      <c r="AB207" s="578"/>
      <c r="AC207" s="578"/>
      <c r="AD207" s="578"/>
    </row>
    <row r="208" spans="1:30" ht="15">
      <c r="A208" s="571">
        <v>9</v>
      </c>
      <c r="B208" s="638" t="s">
        <v>515</v>
      </c>
      <c r="C208" s="527"/>
      <c r="D208" s="527"/>
      <c r="E208" s="616">
        <f t="shared" si="79"/>
        <v>8.25535</v>
      </c>
      <c r="F208" s="575">
        <v>2.41</v>
      </c>
      <c r="G208" s="524">
        <f t="shared" si="80"/>
        <v>5.279</v>
      </c>
      <c r="H208" s="524">
        <v>0.7</v>
      </c>
      <c r="I208" s="524"/>
      <c r="J208" s="527"/>
      <c r="K208" s="524">
        <f t="shared" si="81"/>
        <v>1.205</v>
      </c>
      <c r="L208" s="524">
        <f t="shared" si="85"/>
        <v>1.687</v>
      </c>
      <c r="M208" s="527"/>
      <c r="N208" s="524">
        <f t="shared" si="82"/>
        <v>1.687</v>
      </c>
      <c r="O208" s="527"/>
      <c r="P208" s="527"/>
      <c r="Q208" s="524"/>
      <c r="R208" s="527"/>
      <c r="S208" s="576"/>
      <c r="T208" s="524"/>
      <c r="U208" s="524"/>
      <c r="V208" s="524"/>
      <c r="W208" s="524"/>
      <c r="X208" s="524">
        <f t="shared" si="83"/>
        <v>0.56635</v>
      </c>
      <c r="Y208" s="528">
        <f t="shared" si="84"/>
        <v>147605658</v>
      </c>
      <c r="Z208" s="622"/>
      <c r="AA208" s="578"/>
      <c r="AB208" s="578"/>
      <c r="AC208" s="578"/>
      <c r="AD208" s="578"/>
    </row>
    <row r="209" spans="1:30" ht="15">
      <c r="A209" s="571">
        <v>10</v>
      </c>
      <c r="B209" s="638" t="s">
        <v>516</v>
      </c>
      <c r="C209" s="527"/>
      <c r="D209" s="527"/>
      <c r="E209" s="616">
        <f t="shared" si="79"/>
        <v>8.25535</v>
      </c>
      <c r="F209" s="575">
        <v>2.41</v>
      </c>
      <c r="G209" s="524">
        <f t="shared" si="80"/>
        <v>5.279</v>
      </c>
      <c r="H209" s="524">
        <v>0.7</v>
      </c>
      <c r="I209" s="524"/>
      <c r="J209" s="527"/>
      <c r="K209" s="524">
        <f t="shared" si="81"/>
        <v>1.205</v>
      </c>
      <c r="L209" s="524">
        <f t="shared" si="85"/>
        <v>1.687</v>
      </c>
      <c r="M209" s="527"/>
      <c r="N209" s="524">
        <f t="shared" si="82"/>
        <v>1.687</v>
      </c>
      <c r="O209" s="527"/>
      <c r="P209" s="527"/>
      <c r="Q209" s="524"/>
      <c r="R209" s="527"/>
      <c r="S209" s="576"/>
      <c r="T209" s="524"/>
      <c r="U209" s="524"/>
      <c r="V209" s="524"/>
      <c r="W209" s="524"/>
      <c r="X209" s="524">
        <f t="shared" si="83"/>
        <v>0.56635</v>
      </c>
      <c r="Y209" s="528">
        <f t="shared" si="84"/>
        <v>147605658</v>
      </c>
      <c r="Z209" s="622"/>
      <c r="AA209" s="578"/>
      <c r="AB209" s="578"/>
      <c r="AC209" s="578"/>
      <c r="AD209" s="578"/>
    </row>
    <row r="210" spans="1:30" ht="15">
      <c r="A210" s="571">
        <v>11</v>
      </c>
      <c r="B210" s="638" t="s">
        <v>517</v>
      </c>
      <c r="C210" s="527"/>
      <c r="D210" s="527"/>
      <c r="E210" s="616">
        <f t="shared" si="79"/>
        <v>10.9543</v>
      </c>
      <c r="F210" s="575">
        <v>3</v>
      </c>
      <c r="G210" s="524">
        <f t="shared" si="80"/>
        <v>7.16</v>
      </c>
      <c r="H210" s="524">
        <v>0.7</v>
      </c>
      <c r="I210" s="524">
        <v>0.2</v>
      </c>
      <c r="J210" s="527"/>
      <c r="K210" s="524">
        <f t="shared" si="81"/>
        <v>1.6</v>
      </c>
      <c r="L210" s="524">
        <f t="shared" si="85"/>
        <v>2.2399999999999998</v>
      </c>
      <c r="M210" s="527">
        <f>0.06*F210</f>
        <v>0.18</v>
      </c>
      <c r="N210" s="524">
        <f t="shared" si="82"/>
        <v>2.2399999999999998</v>
      </c>
      <c r="O210" s="527"/>
      <c r="P210" s="527"/>
      <c r="Q210" s="524"/>
      <c r="R210" s="527"/>
      <c r="S210" s="576"/>
      <c r="T210" s="524"/>
      <c r="U210" s="524"/>
      <c r="V210" s="524"/>
      <c r="W210" s="524"/>
      <c r="X210" s="524">
        <f t="shared" si="83"/>
        <v>0.7943</v>
      </c>
      <c r="Y210" s="528">
        <f t="shared" si="84"/>
        <v>195862884</v>
      </c>
      <c r="Z210" s="577"/>
      <c r="AA210" s="578"/>
      <c r="AB210" s="578"/>
      <c r="AC210" s="578"/>
      <c r="AD210" s="578"/>
    </row>
    <row r="211" spans="1:30" ht="15">
      <c r="A211" s="571">
        <v>12</v>
      </c>
      <c r="B211" s="638" t="s">
        <v>518</v>
      </c>
      <c r="C211" s="527"/>
      <c r="D211" s="527"/>
      <c r="E211" s="616">
        <f t="shared" si="79"/>
        <v>9.07045</v>
      </c>
      <c r="F211" s="575">
        <v>2.67</v>
      </c>
      <c r="G211" s="524">
        <f t="shared" si="80"/>
        <v>5.773</v>
      </c>
      <c r="H211" s="524">
        <v>0.7</v>
      </c>
      <c r="I211" s="524"/>
      <c r="J211" s="527"/>
      <c r="K211" s="524">
        <f t="shared" si="81"/>
        <v>1.335</v>
      </c>
      <c r="L211" s="524">
        <f t="shared" si="85"/>
        <v>1.8689999999999998</v>
      </c>
      <c r="M211" s="527"/>
      <c r="N211" s="524">
        <f t="shared" si="82"/>
        <v>1.8689999999999998</v>
      </c>
      <c r="O211" s="527"/>
      <c r="P211" s="527"/>
      <c r="Q211" s="524"/>
      <c r="R211" s="527"/>
      <c r="S211" s="576"/>
      <c r="T211" s="524"/>
      <c r="U211" s="524"/>
      <c r="V211" s="524"/>
      <c r="W211" s="524"/>
      <c r="X211" s="524">
        <f t="shared" si="83"/>
        <v>0.62745</v>
      </c>
      <c r="Y211" s="528">
        <f t="shared" si="84"/>
        <v>162179645.99999997</v>
      </c>
      <c r="Z211" s="577"/>
      <c r="AA211" s="578"/>
      <c r="AB211" s="578"/>
      <c r="AC211" s="578"/>
      <c r="AD211" s="578"/>
    </row>
    <row r="212" spans="1:30" ht="15">
      <c r="A212" s="571">
        <v>13</v>
      </c>
      <c r="B212" s="638" t="s">
        <v>519</v>
      </c>
      <c r="C212" s="527"/>
      <c r="D212" s="527"/>
      <c r="E212" s="616">
        <f t="shared" si="79"/>
        <v>10.327299999999997</v>
      </c>
      <c r="F212" s="575">
        <v>3</v>
      </c>
      <c r="G212" s="524">
        <f t="shared" si="80"/>
        <v>6.579999999999999</v>
      </c>
      <c r="H212" s="524">
        <v>0.7</v>
      </c>
      <c r="I212" s="524"/>
      <c r="J212" s="527"/>
      <c r="K212" s="524">
        <f t="shared" si="81"/>
        <v>1.5</v>
      </c>
      <c r="L212" s="524">
        <f t="shared" si="85"/>
        <v>2.0999999999999996</v>
      </c>
      <c r="M212" s="527">
        <f>0.06*F212</f>
        <v>0.18</v>
      </c>
      <c r="N212" s="524">
        <f t="shared" si="82"/>
        <v>2.0999999999999996</v>
      </c>
      <c r="O212" s="527"/>
      <c r="P212" s="527"/>
      <c r="Q212" s="524"/>
      <c r="R212" s="527"/>
      <c r="S212" s="576"/>
      <c r="T212" s="524"/>
      <c r="U212" s="524"/>
      <c r="V212" s="524"/>
      <c r="W212" s="524"/>
      <c r="X212" s="524">
        <f t="shared" si="83"/>
        <v>0.7473</v>
      </c>
      <c r="Y212" s="528">
        <f t="shared" si="84"/>
        <v>184652123.99999994</v>
      </c>
      <c r="Z212" s="577"/>
      <c r="AA212" s="578"/>
      <c r="AB212" s="578"/>
      <c r="AC212" s="578"/>
      <c r="AD212" s="578"/>
    </row>
    <row r="213" spans="1:30" ht="15">
      <c r="A213" s="567">
        <v>14</v>
      </c>
      <c r="B213" s="639" t="s">
        <v>520</v>
      </c>
      <c r="C213" s="518"/>
      <c r="D213" s="518"/>
      <c r="E213" s="592">
        <f>(F213+G213+X213)</f>
        <v>40.4586</v>
      </c>
      <c r="F213" s="640">
        <f>14*2.34</f>
        <v>32.76</v>
      </c>
      <c r="G213" s="515">
        <f>H213+I213+J213+K213+L213+M213+N213+O213+P213+Q213+R213+S213+T213+U213+W213</f>
        <v>0</v>
      </c>
      <c r="H213" s="515"/>
      <c r="I213" s="515"/>
      <c r="J213" s="518"/>
      <c r="K213" s="515"/>
      <c r="L213" s="515"/>
      <c r="M213" s="518"/>
      <c r="N213" s="515"/>
      <c r="O213" s="518"/>
      <c r="P213" s="518"/>
      <c r="Q213" s="515"/>
      <c r="R213" s="518"/>
      <c r="S213" s="605"/>
      <c r="T213" s="515"/>
      <c r="U213" s="515"/>
      <c r="V213" s="515"/>
      <c r="W213" s="515"/>
      <c r="X213" s="515">
        <f>(F213+I213+M213+U213)*23.5%</f>
        <v>7.698599999999999</v>
      </c>
      <c r="Y213" s="2">
        <f>E213*1490000*12</f>
        <v>723399767.9999999</v>
      </c>
      <c r="Z213" s="18"/>
      <c r="AA213" s="17"/>
      <c r="AB213" s="17"/>
      <c r="AC213" s="17"/>
      <c r="AD213" s="17"/>
    </row>
    <row r="214" spans="1:30" ht="15">
      <c r="A214" s="582"/>
      <c r="B214" s="608"/>
      <c r="C214" s="518"/>
      <c r="D214" s="518"/>
      <c r="E214" s="592"/>
      <c r="F214" s="610"/>
      <c r="G214" s="515"/>
      <c r="H214" s="601"/>
      <c r="I214" s="601"/>
      <c r="J214" s="517"/>
      <c r="K214" s="601"/>
      <c r="L214" s="601"/>
      <c r="M214" s="601"/>
      <c r="N214" s="601"/>
      <c r="O214" s="517"/>
      <c r="P214" s="517"/>
      <c r="Q214" s="601"/>
      <c r="R214" s="517"/>
      <c r="S214" s="630"/>
      <c r="T214" s="517"/>
      <c r="U214" s="631"/>
      <c r="V214" s="631"/>
      <c r="W214" s="517"/>
      <c r="X214" s="601"/>
      <c r="Y214" s="2"/>
      <c r="Z214" s="18"/>
      <c r="AA214" s="17"/>
      <c r="AB214" s="17"/>
      <c r="AC214" s="17"/>
      <c r="AD214" s="17"/>
    </row>
    <row r="215" spans="1:30" ht="15">
      <c r="A215" s="583"/>
      <c r="B215" s="584" t="s">
        <v>435</v>
      </c>
      <c r="C215" s="585"/>
      <c r="D215" s="586"/>
      <c r="E215" s="587">
        <f>SUM(E216:E218)</f>
        <v>8.687</v>
      </c>
      <c r="F215" s="587">
        <f aca="true" t="shared" si="86" ref="F215:Y215">SUM(F216:F218)</f>
        <v>4.2</v>
      </c>
      <c r="G215" s="587">
        <f t="shared" si="86"/>
        <v>3.5</v>
      </c>
      <c r="H215" s="587">
        <f t="shared" si="86"/>
        <v>1.4</v>
      </c>
      <c r="I215" s="587">
        <f t="shared" si="86"/>
        <v>0</v>
      </c>
      <c r="J215" s="587">
        <f t="shared" si="86"/>
        <v>0</v>
      </c>
      <c r="K215" s="587">
        <f t="shared" si="86"/>
        <v>2.1</v>
      </c>
      <c r="L215" s="587">
        <f t="shared" si="86"/>
        <v>0</v>
      </c>
      <c r="M215" s="587">
        <f t="shared" si="86"/>
        <v>0</v>
      </c>
      <c r="N215" s="587">
        <f t="shared" si="86"/>
        <v>0</v>
      </c>
      <c r="O215" s="587">
        <f t="shared" si="86"/>
        <v>0</v>
      </c>
      <c r="P215" s="587">
        <f t="shared" si="86"/>
        <v>0</v>
      </c>
      <c r="Q215" s="587">
        <f t="shared" si="86"/>
        <v>0</v>
      </c>
      <c r="R215" s="587">
        <f t="shared" si="86"/>
        <v>0</v>
      </c>
      <c r="S215" s="587">
        <f t="shared" si="86"/>
        <v>0</v>
      </c>
      <c r="T215" s="587">
        <f t="shared" si="86"/>
        <v>0</v>
      </c>
      <c r="U215" s="587">
        <f t="shared" si="86"/>
        <v>0</v>
      </c>
      <c r="V215" s="587">
        <f t="shared" si="86"/>
        <v>0</v>
      </c>
      <c r="W215" s="587">
        <f t="shared" si="86"/>
        <v>0</v>
      </c>
      <c r="X215" s="587">
        <f t="shared" si="86"/>
        <v>0.987</v>
      </c>
      <c r="Y215" s="587">
        <f t="shared" si="86"/>
        <v>155323560</v>
      </c>
      <c r="Z215" s="21"/>
      <c r="AA215" s="20"/>
      <c r="AB215" s="20"/>
      <c r="AC215" s="20"/>
      <c r="AD215" s="20"/>
    </row>
    <row r="216" spans="1:30" ht="15">
      <c r="A216" s="567">
        <v>1</v>
      </c>
      <c r="B216" s="588" t="s">
        <v>521</v>
      </c>
      <c r="C216" s="568"/>
      <c r="D216" s="569"/>
      <c r="E216" s="524">
        <f>F216+G216+X216</f>
        <v>4.3435</v>
      </c>
      <c r="F216" s="544">
        <v>2.1</v>
      </c>
      <c r="G216" s="524">
        <f>SUM(H216:W216)</f>
        <v>1.75</v>
      </c>
      <c r="H216" s="524">
        <v>0.7</v>
      </c>
      <c r="I216" s="524"/>
      <c r="J216" s="527"/>
      <c r="K216" s="524">
        <f>0.5*(F216+I216)</f>
        <v>1.05</v>
      </c>
      <c r="L216" s="524"/>
      <c r="M216" s="524"/>
      <c r="N216" s="524"/>
      <c r="O216" s="527"/>
      <c r="P216" s="527"/>
      <c r="Q216" s="545"/>
      <c r="R216" s="527"/>
      <c r="S216" s="576"/>
      <c r="T216" s="527"/>
      <c r="U216" s="545"/>
      <c r="V216" s="545"/>
      <c r="W216" s="527"/>
      <c r="X216" s="524">
        <f>(F216+I216+J216+M216+U216)*23.5%</f>
        <v>0.4935</v>
      </c>
      <c r="Y216" s="528">
        <f>E216*1490000*12</f>
        <v>77661780</v>
      </c>
      <c r="Z216" s="18"/>
      <c r="AA216" s="17"/>
      <c r="AB216" s="17"/>
      <c r="AC216" s="17"/>
      <c r="AD216" s="17"/>
    </row>
    <row r="217" spans="1:30" ht="15">
      <c r="A217" s="567">
        <v>2</v>
      </c>
      <c r="B217" s="588" t="s">
        <v>522</v>
      </c>
      <c r="C217" s="568"/>
      <c r="D217" s="569"/>
      <c r="E217" s="524">
        <f>F217+G217+X217</f>
        <v>4.3435</v>
      </c>
      <c r="F217" s="544">
        <v>2.1</v>
      </c>
      <c r="G217" s="524">
        <f>SUM(H217:W217)</f>
        <v>1.75</v>
      </c>
      <c r="H217" s="524">
        <v>0.7</v>
      </c>
      <c r="I217" s="524"/>
      <c r="J217" s="527"/>
      <c r="K217" s="524">
        <f>0.5*(F217+I217)</f>
        <v>1.05</v>
      </c>
      <c r="L217" s="524"/>
      <c r="M217" s="524"/>
      <c r="N217" s="524"/>
      <c r="O217" s="527"/>
      <c r="P217" s="527"/>
      <c r="Q217" s="545"/>
      <c r="R217" s="527"/>
      <c r="S217" s="576"/>
      <c r="T217" s="527"/>
      <c r="U217" s="545"/>
      <c r="V217" s="545"/>
      <c r="W217" s="527"/>
      <c r="X217" s="524">
        <f>(F217+I217+J217+M217+U217)*23.5%</f>
        <v>0.4935</v>
      </c>
      <c r="Y217" s="528">
        <f>E217*1490000*12</f>
        <v>77661780</v>
      </c>
      <c r="Z217" s="18"/>
      <c r="AA217" s="17"/>
      <c r="AB217" s="17"/>
      <c r="AC217" s="17"/>
      <c r="AD217" s="17"/>
    </row>
    <row r="218" spans="1:30" ht="15">
      <c r="A218" s="582"/>
      <c r="B218" s="608"/>
      <c r="C218" s="518"/>
      <c r="D218" s="518"/>
      <c r="E218" s="592"/>
      <c r="F218" s="610"/>
      <c r="G218" s="515"/>
      <c r="H218" s="601"/>
      <c r="I218" s="601"/>
      <c r="J218" s="517"/>
      <c r="K218" s="601"/>
      <c r="L218" s="601"/>
      <c r="M218" s="601"/>
      <c r="N218" s="601"/>
      <c r="O218" s="517"/>
      <c r="P218" s="517"/>
      <c r="Q218" s="601"/>
      <c r="R218" s="517"/>
      <c r="S218" s="630"/>
      <c r="T218" s="517"/>
      <c r="U218" s="631"/>
      <c r="V218" s="631"/>
      <c r="W218" s="517"/>
      <c r="X218" s="601"/>
      <c r="Y218" s="2"/>
      <c r="Z218" s="18"/>
      <c r="AA218" s="17"/>
      <c r="AB218" s="17"/>
      <c r="AC218" s="17"/>
      <c r="AD218" s="17"/>
    </row>
    <row r="219" spans="1:30" ht="15">
      <c r="A219" s="582"/>
      <c r="B219" s="608"/>
      <c r="C219" s="518"/>
      <c r="D219" s="518"/>
      <c r="E219" s="592"/>
      <c r="F219" s="610"/>
      <c r="G219" s="515"/>
      <c r="H219" s="601"/>
      <c r="I219" s="601"/>
      <c r="J219" s="517"/>
      <c r="K219" s="601"/>
      <c r="L219" s="601"/>
      <c r="M219" s="601"/>
      <c r="N219" s="601"/>
      <c r="O219" s="517"/>
      <c r="P219" s="517"/>
      <c r="Q219" s="601"/>
      <c r="R219" s="517"/>
      <c r="S219" s="630"/>
      <c r="T219" s="517"/>
      <c r="U219" s="631"/>
      <c r="V219" s="631"/>
      <c r="W219" s="517"/>
      <c r="X219" s="601"/>
      <c r="Y219" s="2"/>
      <c r="Z219" s="18"/>
      <c r="AA219" s="17"/>
      <c r="AB219" s="17"/>
      <c r="AC219" s="17"/>
      <c r="AD219" s="17"/>
    </row>
    <row r="220" spans="1:30" ht="15">
      <c r="A220" s="582"/>
      <c r="B220" s="608"/>
      <c r="C220" s="518"/>
      <c r="D220" s="518"/>
      <c r="E220" s="592"/>
      <c r="F220" s="610"/>
      <c r="G220" s="515"/>
      <c r="H220" s="601"/>
      <c r="I220" s="601"/>
      <c r="J220" s="517"/>
      <c r="K220" s="601"/>
      <c r="L220" s="601"/>
      <c r="M220" s="601"/>
      <c r="N220" s="601"/>
      <c r="O220" s="517"/>
      <c r="P220" s="517"/>
      <c r="Q220" s="601"/>
      <c r="R220" s="517"/>
      <c r="S220" s="630"/>
      <c r="T220" s="517"/>
      <c r="U220" s="631"/>
      <c r="V220" s="631"/>
      <c r="W220" s="517"/>
      <c r="X220" s="601"/>
      <c r="Y220" s="2"/>
      <c r="Z220" s="18"/>
      <c r="AA220" s="17"/>
      <c r="AB220" s="17"/>
      <c r="AC220" s="17"/>
      <c r="AD220" s="17"/>
    </row>
    <row r="221" spans="1:30" ht="15">
      <c r="A221" s="582"/>
      <c r="B221" s="608"/>
      <c r="C221" s="518"/>
      <c r="D221" s="518"/>
      <c r="E221" s="592"/>
      <c r="F221" s="610"/>
      <c r="G221" s="515"/>
      <c r="H221" s="601"/>
      <c r="I221" s="601"/>
      <c r="J221" s="517"/>
      <c r="K221" s="601"/>
      <c r="L221" s="601"/>
      <c r="M221" s="601"/>
      <c r="N221" s="601"/>
      <c r="O221" s="517"/>
      <c r="P221" s="517"/>
      <c r="Q221" s="601"/>
      <c r="R221" s="517"/>
      <c r="S221" s="630"/>
      <c r="T221" s="517"/>
      <c r="U221" s="631"/>
      <c r="V221" s="631"/>
      <c r="W221" s="517"/>
      <c r="X221" s="601"/>
      <c r="Y221" s="2"/>
      <c r="Z221" s="18"/>
      <c r="AA221" s="17"/>
      <c r="AB221" s="17"/>
      <c r="AC221" s="17"/>
      <c r="AD221" s="17"/>
    </row>
    <row r="222" spans="1:30" ht="15">
      <c r="A222" s="14" t="s">
        <v>523</v>
      </c>
      <c r="B222" s="596" t="s">
        <v>524</v>
      </c>
      <c r="C222" s="552">
        <f>46-22</f>
        <v>24</v>
      </c>
      <c r="D222" s="552">
        <v>17</v>
      </c>
      <c r="E222" s="592">
        <f t="shared" si="79"/>
        <v>181.68975049999997</v>
      </c>
      <c r="F222" s="552">
        <f aca="true" t="shared" si="87" ref="F222:X222">SUM(F223:F240)</f>
        <v>64.53</v>
      </c>
      <c r="G222" s="552">
        <f t="shared" si="87"/>
        <v>101.29529999999997</v>
      </c>
      <c r="H222" s="552">
        <f t="shared" si="87"/>
        <v>11.899999999999997</v>
      </c>
      <c r="I222" s="552">
        <f t="shared" si="87"/>
        <v>1.2999999999999998</v>
      </c>
      <c r="J222" s="552">
        <f t="shared" si="87"/>
        <v>0</v>
      </c>
      <c r="K222" s="552">
        <f t="shared" si="87"/>
        <v>24.725</v>
      </c>
      <c r="L222" s="552">
        <f t="shared" si="87"/>
        <v>26.480999999999998</v>
      </c>
      <c r="M222" s="552">
        <f t="shared" si="87"/>
        <v>1.6783</v>
      </c>
      <c r="N222" s="552">
        <f t="shared" si="87"/>
        <v>32.711</v>
      </c>
      <c r="O222" s="552">
        <f t="shared" si="87"/>
        <v>0</v>
      </c>
      <c r="P222" s="552">
        <f t="shared" si="87"/>
        <v>0</v>
      </c>
      <c r="Q222" s="552">
        <f t="shared" si="87"/>
        <v>2.5</v>
      </c>
      <c r="R222" s="552">
        <f t="shared" si="87"/>
        <v>0</v>
      </c>
      <c r="S222" s="552">
        <f t="shared" si="87"/>
        <v>0</v>
      </c>
      <c r="T222" s="552">
        <f t="shared" si="87"/>
        <v>0</v>
      </c>
      <c r="U222" s="552">
        <f t="shared" si="87"/>
        <v>0</v>
      </c>
      <c r="V222" s="552">
        <f t="shared" si="87"/>
        <v>0</v>
      </c>
      <c r="W222" s="552">
        <f t="shared" si="87"/>
        <v>0</v>
      </c>
      <c r="X222" s="552">
        <f t="shared" si="87"/>
        <v>15.864450499999998</v>
      </c>
      <c r="Y222" s="552">
        <f>ROUNDUP(SUM(Y223:Y240),-3)</f>
        <v>3180643000</v>
      </c>
      <c r="Z222" s="563"/>
      <c r="AA222" s="17"/>
      <c r="AB222" s="17"/>
      <c r="AC222" s="17"/>
      <c r="AD222" s="17"/>
    </row>
    <row r="223" spans="1:30" ht="15">
      <c r="A223" s="567">
        <v>1</v>
      </c>
      <c r="B223" s="641" t="s">
        <v>525</v>
      </c>
      <c r="C223" s="518"/>
      <c r="D223" s="518"/>
      <c r="E223" s="592">
        <f t="shared" si="79"/>
        <v>13.179082999999999</v>
      </c>
      <c r="F223" s="624">
        <v>3.99</v>
      </c>
      <c r="G223" s="515">
        <f t="shared" si="80"/>
        <v>7.995799999999999</v>
      </c>
      <c r="H223" s="625">
        <v>0.7</v>
      </c>
      <c r="I223" s="642">
        <v>0.35</v>
      </c>
      <c r="J223" s="518"/>
      <c r="K223" s="627">
        <f>0.5*(F223+I223)</f>
        <v>2.17</v>
      </c>
      <c r="L223" s="515"/>
      <c r="M223" s="643">
        <f>0.17*(F223+I223)</f>
        <v>0.7378</v>
      </c>
      <c r="N223" s="629">
        <f>0.7*(F223+I223)</f>
        <v>3.038</v>
      </c>
      <c r="O223" s="518"/>
      <c r="P223" s="518"/>
      <c r="Q223" s="515">
        <v>1</v>
      </c>
      <c r="R223" s="518"/>
      <c r="S223" s="605"/>
      <c r="T223" s="518"/>
      <c r="U223" s="644"/>
      <c r="V223" s="644"/>
      <c r="W223" s="644"/>
      <c r="X223" s="515">
        <f>(F223+I223+M223+U223)*0.235</f>
        <v>1.1932829999999999</v>
      </c>
      <c r="Y223" s="2">
        <f aca="true" t="shared" si="88" ref="Y223:Y240">E223*1490000*12</f>
        <v>235642004.03999996</v>
      </c>
      <c r="Z223" s="18"/>
      <c r="AA223" s="17"/>
      <c r="AB223" s="17"/>
      <c r="AC223" s="17"/>
      <c r="AD223" s="17"/>
    </row>
    <row r="224" spans="1:30" ht="15">
      <c r="A224" s="567">
        <v>2</v>
      </c>
      <c r="B224" s="641" t="s">
        <v>526</v>
      </c>
      <c r="C224" s="518"/>
      <c r="D224" s="518"/>
      <c r="E224" s="592">
        <f t="shared" si="79"/>
        <v>12.8360625</v>
      </c>
      <c r="F224" s="624">
        <v>4</v>
      </c>
      <c r="G224" s="515">
        <f t="shared" si="80"/>
        <v>7.6875</v>
      </c>
      <c r="H224" s="625">
        <v>0.7</v>
      </c>
      <c r="I224" s="642">
        <v>0.25</v>
      </c>
      <c r="J224" s="518"/>
      <c r="K224" s="627">
        <f>0.5*(F224+I224)</f>
        <v>2.125</v>
      </c>
      <c r="L224" s="515"/>
      <c r="M224" s="643">
        <f>0.15*(F224+I224)</f>
        <v>0.6375</v>
      </c>
      <c r="N224" s="629">
        <f>0.7*(F224+I224)</f>
        <v>2.9749999999999996</v>
      </c>
      <c r="O224" s="518"/>
      <c r="P224" s="518"/>
      <c r="Q224" s="515">
        <v>1</v>
      </c>
      <c r="R224" s="518"/>
      <c r="S224" s="605"/>
      <c r="T224" s="518"/>
      <c r="U224" s="644"/>
      <c r="V224" s="644"/>
      <c r="W224" s="644"/>
      <c r="X224" s="515">
        <f>(F224+I224+M224+U224)*0.235</f>
        <v>1.1485625</v>
      </c>
      <c r="Y224" s="2">
        <f>E224*1490000*12</f>
        <v>229508797.5</v>
      </c>
      <c r="Z224" s="18"/>
      <c r="AA224" s="17"/>
      <c r="AB224" s="17"/>
      <c r="AC224" s="17"/>
      <c r="AD224" s="17"/>
    </row>
    <row r="225" spans="1:30" ht="15">
      <c r="A225" s="567">
        <v>3</v>
      </c>
      <c r="B225" s="511" t="s">
        <v>527</v>
      </c>
      <c r="C225" s="518"/>
      <c r="D225" s="518"/>
      <c r="E225" s="592">
        <f t="shared" si="79"/>
        <v>9.07045</v>
      </c>
      <c r="F225" s="624">
        <v>2.67</v>
      </c>
      <c r="G225" s="515">
        <f t="shared" si="80"/>
        <v>5.773</v>
      </c>
      <c r="H225" s="625">
        <v>0.7</v>
      </c>
      <c r="I225" s="626"/>
      <c r="J225" s="518"/>
      <c r="K225" s="627">
        <f aca="true" t="shared" si="89" ref="K225:K240">0.5*(F225+I225)</f>
        <v>1.335</v>
      </c>
      <c r="L225" s="515">
        <f>0.7*(F225+I225)</f>
        <v>1.8689999999999998</v>
      </c>
      <c r="M225" s="628"/>
      <c r="N225" s="629">
        <f aca="true" t="shared" si="90" ref="N225:N238">0.7*(F225+I225)</f>
        <v>1.8689999999999998</v>
      </c>
      <c r="O225" s="518"/>
      <c r="P225" s="518"/>
      <c r="Q225" s="515"/>
      <c r="R225" s="518"/>
      <c r="S225" s="605"/>
      <c r="T225" s="518"/>
      <c r="U225" s="644"/>
      <c r="V225" s="644"/>
      <c r="W225" s="644"/>
      <c r="X225" s="515">
        <f aca="true" t="shared" si="91" ref="X225:X240">(F225+I225+M225+U225)*0.235</f>
        <v>0.62745</v>
      </c>
      <c r="Y225" s="2">
        <f t="shared" si="88"/>
        <v>162179645.99999997</v>
      </c>
      <c r="Z225" s="18"/>
      <c r="AA225" s="17"/>
      <c r="AB225" s="17"/>
      <c r="AC225" s="17"/>
      <c r="AD225" s="17"/>
    </row>
    <row r="226" spans="1:30" ht="15">
      <c r="A226" s="567">
        <v>4</v>
      </c>
      <c r="B226" s="511" t="s">
        <v>528</v>
      </c>
      <c r="C226" s="518"/>
      <c r="D226" s="518"/>
      <c r="E226" s="592">
        <f t="shared" si="79"/>
        <v>9.697450000000002</v>
      </c>
      <c r="F226" s="624">
        <v>2.72</v>
      </c>
      <c r="G226" s="515">
        <f t="shared" si="80"/>
        <v>6.303000000000001</v>
      </c>
      <c r="H226" s="625">
        <v>0.7</v>
      </c>
      <c r="I226" s="626">
        <v>0.15</v>
      </c>
      <c r="J226" s="518"/>
      <c r="K226" s="627">
        <f t="shared" si="89"/>
        <v>1.435</v>
      </c>
      <c r="L226" s="515">
        <f aca="true" t="shared" si="92" ref="L226:L236">0.7*(F226+I226)</f>
        <v>2.009</v>
      </c>
      <c r="M226" s="628"/>
      <c r="N226" s="629">
        <f t="shared" si="90"/>
        <v>2.009</v>
      </c>
      <c r="O226" s="518"/>
      <c r="P226" s="518"/>
      <c r="Q226" s="515"/>
      <c r="R226" s="518"/>
      <c r="S226" s="605"/>
      <c r="T226" s="518"/>
      <c r="U226" s="644"/>
      <c r="V226" s="644"/>
      <c r="W226" s="644"/>
      <c r="X226" s="515">
        <f t="shared" si="91"/>
        <v>0.67445</v>
      </c>
      <c r="Y226" s="2">
        <f t="shared" si="88"/>
        <v>173390406.00000003</v>
      </c>
      <c r="Z226" s="18"/>
      <c r="AA226" s="17"/>
      <c r="AB226" s="17"/>
      <c r="AC226" s="17"/>
      <c r="AD226" s="17"/>
    </row>
    <row r="227" spans="1:30" ht="15">
      <c r="A227" s="567">
        <v>5</v>
      </c>
      <c r="B227" s="511" t="s">
        <v>529</v>
      </c>
      <c r="C227" s="518"/>
      <c r="D227" s="518"/>
      <c r="E227" s="592">
        <f>(F227+G227+X227)</f>
        <v>10.732000000000001</v>
      </c>
      <c r="F227" s="624">
        <v>3</v>
      </c>
      <c r="G227" s="515">
        <f>H227+I227+J227+K227+L227+M227+N227+O227+P227+Q227+R227+S227+T227+U227+W227</f>
        <v>6.98</v>
      </c>
      <c r="H227" s="625">
        <v>0.7</v>
      </c>
      <c r="I227" s="626">
        <v>0.2</v>
      </c>
      <c r="J227" s="518"/>
      <c r="K227" s="627">
        <f>0.5*(F227+I227)</f>
        <v>1.6</v>
      </c>
      <c r="L227" s="515">
        <f t="shared" si="92"/>
        <v>2.2399999999999998</v>
      </c>
      <c r="M227" s="628"/>
      <c r="N227" s="629">
        <f t="shared" si="90"/>
        <v>2.2399999999999998</v>
      </c>
      <c r="O227" s="518"/>
      <c r="P227" s="518"/>
      <c r="Q227" s="515"/>
      <c r="R227" s="518"/>
      <c r="S227" s="605"/>
      <c r="T227" s="518"/>
      <c r="U227" s="644"/>
      <c r="V227" s="644"/>
      <c r="W227" s="644"/>
      <c r="X227" s="515">
        <f>(F227+I227+M227+U227)*0.235</f>
        <v>0.752</v>
      </c>
      <c r="Y227" s="2">
        <f>E227*1490000*12</f>
        <v>191888160.00000003</v>
      </c>
      <c r="Z227" s="18"/>
      <c r="AA227" s="17"/>
      <c r="AB227" s="17"/>
      <c r="AC227" s="17"/>
      <c r="AD227" s="17"/>
    </row>
    <row r="228" spans="1:30" ht="15">
      <c r="A228" s="567">
        <v>6</v>
      </c>
      <c r="B228" s="511" t="s">
        <v>530</v>
      </c>
      <c r="C228" s="518"/>
      <c r="D228" s="518"/>
      <c r="E228" s="592">
        <f t="shared" si="79"/>
        <v>9.07045</v>
      </c>
      <c r="F228" s="624">
        <v>2.67</v>
      </c>
      <c r="G228" s="515">
        <f t="shared" si="80"/>
        <v>5.773</v>
      </c>
      <c r="H228" s="625">
        <v>0.7</v>
      </c>
      <c r="I228" s="626"/>
      <c r="J228" s="518"/>
      <c r="K228" s="627">
        <f t="shared" si="89"/>
        <v>1.335</v>
      </c>
      <c r="L228" s="515">
        <f t="shared" si="92"/>
        <v>1.8689999999999998</v>
      </c>
      <c r="M228" s="628"/>
      <c r="N228" s="629">
        <f t="shared" si="90"/>
        <v>1.8689999999999998</v>
      </c>
      <c r="O228" s="518"/>
      <c r="P228" s="518"/>
      <c r="Q228" s="515"/>
      <c r="R228" s="518"/>
      <c r="S228" s="605"/>
      <c r="T228" s="518"/>
      <c r="U228" s="644"/>
      <c r="V228" s="644"/>
      <c r="W228" s="644"/>
      <c r="X228" s="515">
        <f t="shared" si="91"/>
        <v>0.62745</v>
      </c>
      <c r="Y228" s="2">
        <f t="shared" si="88"/>
        <v>162179645.99999997</v>
      </c>
      <c r="Z228" s="18"/>
      <c r="AA228" s="17"/>
      <c r="AB228" s="17"/>
      <c r="AC228" s="17"/>
      <c r="AD228" s="17"/>
    </row>
    <row r="229" spans="1:30" ht="15">
      <c r="A229" s="567">
        <v>7</v>
      </c>
      <c r="B229" s="511" t="s">
        <v>531</v>
      </c>
      <c r="C229" s="518"/>
      <c r="D229" s="518"/>
      <c r="E229" s="592">
        <f t="shared" si="79"/>
        <v>10.199049999999998</v>
      </c>
      <c r="F229" s="624">
        <v>3.03</v>
      </c>
      <c r="G229" s="515">
        <f t="shared" si="80"/>
        <v>6.456999999999999</v>
      </c>
      <c r="H229" s="625">
        <v>0.7</v>
      </c>
      <c r="I229" s="626"/>
      <c r="J229" s="518"/>
      <c r="K229" s="627">
        <f t="shared" si="89"/>
        <v>1.515</v>
      </c>
      <c r="L229" s="515">
        <f t="shared" si="92"/>
        <v>2.1209999999999996</v>
      </c>
      <c r="M229" s="628"/>
      <c r="N229" s="629">
        <f t="shared" si="90"/>
        <v>2.1209999999999996</v>
      </c>
      <c r="O229" s="518"/>
      <c r="P229" s="518"/>
      <c r="Q229" s="515"/>
      <c r="R229" s="518"/>
      <c r="S229" s="605"/>
      <c r="T229" s="518"/>
      <c r="U229" s="644"/>
      <c r="V229" s="644"/>
      <c r="W229" s="644"/>
      <c r="X229" s="515">
        <f t="shared" si="91"/>
        <v>0.71205</v>
      </c>
      <c r="Y229" s="2">
        <f t="shared" si="88"/>
        <v>182359013.99999994</v>
      </c>
      <c r="Z229" s="18"/>
      <c r="AA229" s="17"/>
      <c r="AB229" s="17"/>
      <c r="AC229" s="17"/>
      <c r="AD229" s="17"/>
    </row>
    <row r="230" spans="1:30" ht="15">
      <c r="A230" s="567">
        <v>8</v>
      </c>
      <c r="B230" s="511" t="s">
        <v>532</v>
      </c>
      <c r="C230" s="518"/>
      <c r="D230" s="518"/>
      <c r="E230" s="592">
        <f t="shared" si="79"/>
        <v>8.25535</v>
      </c>
      <c r="F230" s="624">
        <v>2.41</v>
      </c>
      <c r="G230" s="515">
        <f t="shared" si="80"/>
        <v>5.279</v>
      </c>
      <c r="H230" s="625">
        <v>0.7</v>
      </c>
      <c r="I230" s="626"/>
      <c r="J230" s="518"/>
      <c r="K230" s="627">
        <f t="shared" si="89"/>
        <v>1.205</v>
      </c>
      <c r="L230" s="515">
        <f t="shared" si="92"/>
        <v>1.687</v>
      </c>
      <c r="M230" s="628"/>
      <c r="N230" s="629">
        <f t="shared" si="90"/>
        <v>1.687</v>
      </c>
      <c r="O230" s="518"/>
      <c r="P230" s="518"/>
      <c r="Q230" s="515"/>
      <c r="R230" s="518"/>
      <c r="S230" s="605"/>
      <c r="T230" s="518"/>
      <c r="U230" s="644"/>
      <c r="V230" s="644"/>
      <c r="W230" s="644"/>
      <c r="X230" s="515">
        <f t="shared" si="91"/>
        <v>0.56635</v>
      </c>
      <c r="Y230" s="2">
        <f t="shared" si="88"/>
        <v>147605658</v>
      </c>
      <c r="Z230" s="18"/>
      <c r="AA230" s="17"/>
      <c r="AB230" s="17"/>
      <c r="AC230" s="17"/>
      <c r="AD230" s="17"/>
    </row>
    <row r="231" spans="1:30" ht="15">
      <c r="A231" s="567">
        <v>9</v>
      </c>
      <c r="B231" s="511" t="s">
        <v>533</v>
      </c>
      <c r="C231" s="518"/>
      <c r="D231" s="518"/>
      <c r="E231" s="592">
        <f t="shared" si="79"/>
        <v>9.5407</v>
      </c>
      <c r="F231" s="624">
        <v>2.67</v>
      </c>
      <c r="G231" s="515">
        <f t="shared" si="80"/>
        <v>6.208</v>
      </c>
      <c r="H231" s="625">
        <v>0.7</v>
      </c>
      <c r="I231" s="626">
        <v>0.15</v>
      </c>
      <c r="J231" s="518"/>
      <c r="K231" s="627">
        <f t="shared" si="89"/>
        <v>1.41</v>
      </c>
      <c r="L231" s="515">
        <f t="shared" si="92"/>
        <v>1.9739999999999998</v>
      </c>
      <c r="M231" s="628"/>
      <c r="N231" s="629">
        <f t="shared" si="90"/>
        <v>1.9739999999999998</v>
      </c>
      <c r="O231" s="518"/>
      <c r="P231" s="518"/>
      <c r="Q231" s="515"/>
      <c r="R231" s="518"/>
      <c r="S231" s="605"/>
      <c r="T231" s="518"/>
      <c r="U231" s="644"/>
      <c r="V231" s="644"/>
      <c r="W231" s="644"/>
      <c r="X231" s="515">
        <f t="shared" si="91"/>
        <v>0.6627</v>
      </c>
      <c r="Y231" s="2">
        <f t="shared" si="88"/>
        <v>170587715.99999997</v>
      </c>
      <c r="Z231" s="18"/>
      <c r="AA231" s="17"/>
      <c r="AB231" s="17"/>
      <c r="AC231" s="17"/>
      <c r="AD231" s="17"/>
    </row>
    <row r="232" spans="1:30" ht="15">
      <c r="A232" s="567">
        <v>10</v>
      </c>
      <c r="B232" s="511" t="s">
        <v>534</v>
      </c>
      <c r="C232" s="518"/>
      <c r="D232" s="518"/>
      <c r="E232" s="592">
        <f t="shared" si="79"/>
        <v>8.25535</v>
      </c>
      <c r="F232" s="624">
        <v>2.41</v>
      </c>
      <c r="G232" s="515">
        <f t="shared" si="80"/>
        <v>5.279</v>
      </c>
      <c r="H232" s="625">
        <v>0.7</v>
      </c>
      <c r="I232" s="626"/>
      <c r="J232" s="518"/>
      <c r="K232" s="627">
        <f t="shared" si="89"/>
        <v>1.205</v>
      </c>
      <c r="L232" s="515">
        <f t="shared" si="92"/>
        <v>1.687</v>
      </c>
      <c r="M232" s="628"/>
      <c r="N232" s="629">
        <f t="shared" si="90"/>
        <v>1.687</v>
      </c>
      <c r="O232" s="518"/>
      <c r="P232" s="518"/>
      <c r="Q232" s="515"/>
      <c r="R232" s="518"/>
      <c r="S232" s="605"/>
      <c r="T232" s="518"/>
      <c r="U232" s="644"/>
      <c r="V232" s="644"/>
      <c r="W232" s="644"/>
      <c r="X232" s="515">
        <f t="shared" si="91"/>
        <v>0.56635</v>
      </c>
      <c r="Y232" s="2">
        <f t="shared" si="88"/>
        <v>147605658</v>
      </c>
      <c r="Z232" s="18"/>
      <c r="AA232" s="17"/>
      <c r="AB232" s="17"/>
      <c r="AC232" s="17"/>
      <c r="AD232" s="17"/>
    </row>
    <row r="233" spans="1:30" ht="15">
      <c r="A233" s="567">
        <v>11</v>
      </c>
      <c r="B233" s="511" t="s">
        <v>535</v>
      </c>
      <c r="C233" s="518"/>
      <c r="D233" s="518"/>
      <c r="E233" s="592">
        <f t="shared" si="79"/>
        <v>9.07045</v>
      </c>
      <c r="F233" s="624">
        <v>2.67</v>
      </c>
      <c r="G233" s="515">
        <f t="shared" si="80"/>
        <v>5.773</v>
      </c>
      <c r="H233" s="625">
        <v>0.7</v>
      </c>
      <c r="I233" s="626"/>
      <c r="J233" s="518"/>
      <c r="K233" s="627">
        <f t="shared" si="89"/>
        <v>1.335</v>
      </c>
      <c r="L233" s="515">
        <f t="shared" si="92"/>
        <v>1.8689999999999998</v>
      </c>
      <c r="M233" s="628"/>
      <c r="N233" s="629">
        <f t="shared" si="90"/>
        <v>1.8689999999999998</v>
      </c>
      <c r="O233" s="518"/>
      <c r="P233" s="518"/>
      <c r="Q233" s="515"/>
      <c r="R233" s="518"/>
      <c r="S233" s="605"/>
      <c r="T233" s="518"/>
      <c r="U233" s="644"/>
      <c r="V233" s="644"/>
      <c r="W233" s="644"/>
      <c r="X233" s="515">
        <f t="shared" si="91"/>
        <v>0.62745</v>
      </c>
      <c r="Y233" s="2">
        <f t="shared" si="88"/>
        <v>162179645.99999997</v>
      </c>
      <c r="Z233" s="18"/>
      <c r="AA233" s="17"/>
      <c r="AB233" s="17"/>
      <c r="AC233" s="17"/>
      <c r="AD233" s="17"/>
    </row>
    <row r="234" spans="1:30" ht="15">
      <c r="A234" s="567">
        <v>12</v>
      </c>
      <c r="B234" s="645" t="s">
        <v>536</v>
      </c>
      <c r="C234" s="518"/>
      <c r="D234" s="518"/>
      <c r="E234" s="592">
        <f t="shared" si="79"/>
        <v>9.69745</v>
      </c>
      <c r="F234" s="624">
        <v>2.67</v>
      </c>
      <c r="G234" s="515">
        <f t="shared" si="80"/>
        <v>6.353</v>
      </c>
      <c r="H234" s="625">
        <v>0.7</v>
      </c>
      <c r="I234" s="626">
        <v>0.2</v>
      </c>
      <c r="J234" s="518"/>
      <c r="K234" s="627">
        <f t="shared" si="89"/>
        <v>1.435</v>
      </c>
      <c r="L234" s="515">
        <f t="shared" si="92"/>
        <v>2.009</v>
      </c>
      <c r="M234" s="628"/>
      <c r="N234" s="629">
        <f t="shared" si="90"/>
        <v>2.009</v>
      </c>
      <c r="O234" s="518"/>
      <c r="P234" s="518"/>
      <c r="Q234" s="515"/>
      <c r="R234" s="518"/>
      <c r="S234" s="605"/>
      <c r="T234" s="518"/>
      <c r="U234" s="625"/>
      <c r="V234" s="625"/>
      <c r="W234" s="625"/>
      <c r="X234" s="515">
        <f t="shared" si="91"/>
        <v>0.67445</v>
      </c>
      <c r="Y234" s="2">
        <f t="shared" si="88"/>
        <v>173390406</v>
      </c>
      <c r="Z234" s="18"/>
      <c r="AA234" s="17"/>
      <c r="AB234" s="17"/>
      <c r="AC234" s="17"/>
      <c r="AD234" s="17"/>
    </row>
    <row r="235" spans="1:30" ht="15">
      <c r="A235" s="567">
        <v>13</v>
      </c>
      <c r="B235" s="645" t="s">
        <v>537</v>
      </c>
      <c r="C235" s="518"/>
      <c r="D235" s="518"/>
      <c r="E235" s="592">
        <f t="shared" si="79"/>
        <v>9.07045</v>
      </c>
      <c r="F235" s="624">
        <v>2.67</v>
      </c>
      <c r="G235" s="515">
        <f t="shared" si="80"/>
        <v>5.773</v>
      </c>
      <c r="H235" s="625">
        <v>0.7</v>
      </c>
      <c r="I235" s="626"/>
      <c r="J235" s="518"/>
      <c r="K235" s="627">
        <f t="shared" si="89"/>
        <v>1.335</v>
      </c>
      <c r="L235" s="515">
        <f t="shared" si="92"/>
        <v>1.8689999999999998</v>
      </c>
      <c r="M235" s="628"/>
      <c r="N235" s="629">
        <f t="shared" si="90"/>
        <v>1.8689999999999998</v>
      </c>
      <c r="O235" s="518"/>
      <c r="P235" s="518"/>
      <c r="Q235" s="515"/>
      <c r="R235" s="518"/>
      <c r="S235" s="605"/>
      <c r="T235" s="518"/>
      <c r="U235" s="625"/>
      <c r="V235" s="625"/>
      <c r="W235" s="625"/>
      <c r="X235" s="515">
        <f t="shared" si="91"/>
        <v>0.62745</v>
      </c>
      <c r="Y235" s="2">
        <f t="shared" si="88"/>
        <v>162179645.99999997</v>
      </c>
      <c r="Z235" s="18"/>
      <c r="AA235" s="17"/>
      <c r="AB235" s="17"/>
      <c r="AC235" s="17"/>
      <c r="AD235" s="17"/>
    </row>
    <row r="236" spans="1:30" ht="15">
      <c r="A236" s="567">
        <v>14</v>
      </c>
      <c r="B236" s="511" t="s">
        <v>538</v>
      </c>
      <c r="C236" s="518"/>
      <c r="D236" s="518"/>
      <c r="E236" s="592">
        <f t="shared" si="79"/>
        <v>8.25535</v>
      </c>
      <c r="F236" s="624">
        <v>2.41</v>
      </c>
      <c r="G236" s="515">
        <f t="shared" si="80"/>
        <v>5.279</v>
      </c>
      <c r="H236" s="625">
        <v>0.7</v>
      </c>
      <c r="I236" s="626"/>
      <c r="J236" s="518"/>
      <c r="K236" s="627">
        <f t="shared" si="89"/>
        <v>1.205</v>
      </c>
      <c r="L236" s="515">
        <f t="shared" si="92"/>
        <v>1.687</v>
      </c>
      <c r="M236" s="628"/>
      <c r="N236" s="629">
        <f t="shared" si="90"/>
        <v>1.687</v>
      </c>
      <c r="O236" s="518"/>
      <c r="P236" s="518"/>
      <c r="Q236" s="515"/>
      <c r="R236" s="518"/>
      <c r="S236" s="605"/>
      <c r="T236" s="518"/>
      <c r="U236" s="625"/>
      <c r="V236" s="625"/>
      <c r="W236" s="625"/>
      <c r="X236" s="515">
        <f t="shared" si="91"/>
        <v>0.56635</v>
      </c>
      <c r="Y236" s="2">
        <f t="shared" si="88"/>
        <v>147605658</v>
      </c>
      <c r="Z236" s="18"/>
      <c r="AA236" s="17"/>
      <c r="AB236" s="17"/>
      <c r="AC236" s="17"/>
      <c r="AD236" s="17"/>
    </row>
    <row r="237" spans="1:30" ht="15">
      <c r="A237" s="567">
        <v>15</v>
      </c>
      <c r="B237" s="511" t="s">
        <v>539</v>
      </c>
      <c r="C237" s="518"/>
      <c r="D237" s="518"/>
      <c r="E237" s="592">
        <f>(F237+G237+X237)</f>
        <v>8.952255</v>
      </c>
      <c r="F237" s="624">
        <v>3.03</v>
      </c>
      <c r="G237" s="515">
        <f>H237+I237+J237+K237+L237+M237+N237+O237+P237+Q237+R237+S237+T237+U237+W237</f>
        <v>5.138999999999999</v>
      </c>
      <c r="H237" s="625">
        <v>0.7</v>
      </c>
      <c r="I237" s="626"/>
      <c r="J237" s="518"/>
      <c r="K237" s="627">
        <f>0.5*(F237+I237)</f>
        <v>1.515</v>
      </c>
      <c r="L237" s="515"/>
      <c r="M237" s="628">
        <f>0.1*F237</f>
        <v>0.303</v>
      </c>
      <c r="N237" s="629">
        <f>0.7*(F237+I237)</f>
        <v>2.1209999999999996</v>
      </c>
      <c r="O237" s="518"/>
      <c r="P237" s="518"/>
      <c r="Q237" s="515">
        <v>0.5</v>
      </c>
      <c r="R237" s="518"/>
      <c r="S237" s="605"/>
      <c r="T237" s="518"/>
      <c r="U237" s="625"/>
      <c r="V237" s="625"/>
      <c r="W237" s="625"/>
      <c r="X237" s="515">
        <f>(F237+I237+M237+U237)*0.235</f>
        <v>0.7832549999999999</v>
      </c>
      <c r="Y237" s="2">
        <f>E237*1490000*12</f>
        <v>160066319.39999998</v>
      </c>
      <c r="Z237" s="18"/>
      <c r="AA237" s="17"/>
      <c r="AB237" s="17"/>
      <c r="AC237" s="17"/>
      <c r="AD237" s="17"/>
    </row>
    <row r="238" spans="1:30" ht="15">
      <c r="A238" s="567">
        <v>16</v>
      </c>
      <c r="B238" s="511" t="s">
        <v>540</v>
      </c>
      <c r="C238" s="518"/>
      <c r="D238" s="518"/>
      <c r="E238" s="592">
        <f t="shared" si="79"/>
        <v>8.25535</v>
      </c>
      <c r="F238" s="624">
        <v>2.41</v>
      </c>
      <c r="G238" s="515">
        <f t="shared" si="80"/>
        <v>5.279</v>
      </c>
      <c r="H238" s="625">
        <v>0.7</v>
      </c>
      <c r="I238" s="626"/>
      <c r="J238" s="518"/>
      <c r="K238" s="627">
        <f t="shared" si="89"/>
        <v>1.205</v>
      </c>
      <c r="L238" s="515">
        <f>0.7*F238</f>
        <v>1.687</v>
      </c>
      <c r="M238" s="628"/>
      <c r="N238" s="629">
        <f t="shared" si="90"/>
        <v>1.687</v>
      </c>
      <c r="O238" s="518"/>
      <c r="P238" s="518"/>
      <c r="Q238" s="515"/>
      <c r="R238" s="518"/>
      <c r="S238" s="605"/>
      <c r="T238" s="518"/>
      <c r="U238" s="625"/>
      <c r="V238" s="625"/>
      <c r="W238" s="625"/>
      <c r="X238" s="515">
        <f t="shared" si="91"/>
        <v>0.56635</v>
      </c>
      <c r="Y238" s="2">
        <f t="shared" si="88"/>
        <v>147605658</v>
      </c>
      <c r="Z238" s="18"/>
      <c r="AA238" s="17"/>
      <c r="AB238" s="17"/>
      <c r="AC238" s="17"/>
      <c r="AD238" s="17"/>
    </row>
    <row r="239" spans="1:30" ht="15">
      <c r="A239" s="567">
        <v>17</v>
      </c>
      <c r="B239" s="511" t="s">
        <v>541</v>
      </c>
      <c r="C239" s="518"/>
      <c r="D239" s="518"/>
      <c r="E239" s="592">
        <f>(F239+G239+X239)</f>
        <v>20.2293</v>
      </c>
      <c r="F239" s="624">
        <f>7*2.34</f>
        <v>16.38</v>
      </c>
      <c r="G239" s="515">
        <f>H239+I239+J239+K239+L239+M239+N239+O239+P239+Q239+R239+S239+T239+U239+W239</f>
        <v>0</v>
      </c>
      <c r="H239" s="625"/>
      <c r="I239" s="626"/>
      <c r="J239" s="518"/>
      <c r="K239" s="627"/>
      <c r="L239" s="515"/>
      <c r="M239" s="628"/>
      <c r="N239" s="629"/>
      <c r="O239" s="518"/>
      <c r="P239" s="518"/>
      <c r="Q239" s="515"/>
      <c r="R239" s="518"/>
      <c r="S239" s="605"/>
      <c r="T239" s="518"/>
      <c r="U239" s="625"/>
      <c r="V239" s="625"/>
      <c r="W239" s="625"/>
      <c r="X239" s="515">
        <f t="shared" si="91"/>
        <v>3.8492999999999995</v>
      </c>
      <c r="Y239" s="2">
        <f>E239*1210000*12</f>
        <v>293729436</v>
      </c>
      <c r="Z239" s="18"/>
      <c r="AA239" s="17"/>
      <c r="AB239" s="17"/>
      <c r="AC239" s="17"/>
      <c r="AD239" s="17"/>
    </row>
    <row r="240" spans="1:30" ht="15">
      <c r="A240" s="567">
        <v>18</v>
      </c>
      <c r="B240" s="511" t="s">
        <v>542</v>
      </c>
      <c r="C240" s="518"/>
      <c r="D240" s="518"/>
      <c r="E240" s="592">
        <f t="shared" si="79"/>
        <v>7.3232</v>
      </c>
      <c r="F240" s="624">
        <v>2.72</v>
      </c>
      <c r="G240" s="515">
        <f t="shared" si="80"/>
        <v>3.964</v>
      </c>
      <c r="H240" s="625">
        <v>0.7</v>
      </c>
      <c r="I240" s="626"/>
      <c r="J240" s="518"/>
      <c r="K240" s="627">
        <f t="shared" si="89"/>
        <v>1.36</v>
      </c>
      <c r="L240" s="515">
        <f>0.7*F240</f>
        <v>1.904</v>
      </c>
      <c r="M240" s="628"/>
      <c r="N240" s="629"/>
      <c r="O240" s="518"/>
      <c r="P240" s="518"/>
      <c r="Q240" s="515"/>
      <c r="R240" s="518"/>
      <c r="S240" s="605"/>
      <c r="T240" s="518"/>
      <c r="U240" s="625"/>
      <c r="V240" s="625"/>
      <c r="W240" s="625"/>
      <c r="X240" s="515">
        <f t="shared" si="91"/>
        <v>0.6392</v>
      </c>
      <c r="Y240" s="2">
        <f t="shared" si="88"/>
        <v>130938816</v>
      </c>
      <c r="Z240" s="18"/>
      <c r="AA240" s="17"/>
      <c r="AB240" s="17"/>
      <c r="AC240" s="17"/>
      <c r="AD240" s="17"/>
    </row>
    <row r="241" spans="1:30" ht="15">
      <c r="A241" s="504">
        <v>2</v>
      </c>
      <c r="B241" s="10" t="s">
        <v>543</v>
      </c>
      <c r="C241" s="503"/>
      <c r="D241" s="503"/>
      <c r="E241" s="503"/>
      <c r="F241" s="507"/>
      <c r="G241" s="503"/>
      <c r="H241" s="503"/>
      <c r="I241" s="503"/>
      <c r="J241" s="503"/>
      <c r="K241" s="503"/>
      <c r="L241" s="503"/>
      <c r="M241" s="503"/>
      <c r="N241" s="629"/>
      <c r="O241" s="503"/>
      <c r="P241" s="503"/>
      <c r="Q241" s="503"/>
      <c r="R241" s="503"/>
      <c r="S241" s="508"/>
      <c r="T241" s="503"/>
      <c r="U241" s="503"/>
      <c r="V241" s="503"/>
      <c r="W241" s="503"/>
      <c r="X241" s="515">
        <f>(F241+I241+M241)*0.235</f>
        <v>0</v>
      </c>
      <c r="Y241" s="2">
        <f>E241*1390000</f>
        <v>0</v>
      </c>
      <c r="Z241" s="503"/>
      <c r="AA241" s="17"/>
      <c r="AB241" s="17"/>
      <c r="AC241" s="17"/>
      <c r="AD241" s="17"/>
    </row>
    <row r="242" spans="1:30" ht="15">
      <c r="A242" s="504">
        <v>3</v>
      </c>
      <c r="B242" s="10" t="s">
        <v>544</v>
      </c>
      <c r="C242" s="503"/>
      <c r="D242" s="503"/>
      <c r="E242" s="503"/>
      <c r="F242" s="507"/>
      <c r="G242" s="503"/>
      <c r="H242" s="503"/>
      <c r="I242" s="503"/>
      <c r="J242" s="503"/>
      <c r="K242" s="503"/>
      <c r="L242" s="503"/>
      <c r="M242" s="503"/>
      <c r="N242" s="503"/>
      <c r="O242" s="503"/>
      <c r="P242" s="503"/>
      <c r="Q242" s="503"/>
      <c r="R242" s="503"/>
      <c r="S242" s="508"/>
      <c r="T242" s="503"/>
      <c r="U242" s="503"/>
      <c r="V242" s="503"/>
      <c r="W242" s="503"/>
      <c r="X242" s="503"/>
      <c r="Y242" s="503"/>
      <c r="Z242" s="503"/>
      <c r="AA242" s="17"/>
      <c r="AB242" s="17"/>
      <c r="AC242" s="17"/>
      <c r="AD242" s="17"/>
    </row>
    <row r="243" spans="1:30" ht="15">
      <c r="A243" s="14">
        <v>4</v>
      </c>
      <c r="B243" s="596" t="s">
        <v>9</v>
      </c>
      <c r="C243" s="552">
        <v>6</v>
      </c>
      <c r="D243" s="552">
        <v>6</v>
      </c>
      <c r="E243" s="552">
        <f>E244</f>
        <v>42.58695</v>
      </c>
      <c r="F243" s="552">
        <f aca="true" t="shared" si="93" ref="F243:X243">F244</f>
        <v>15.41</v>
      </c>
      <c r="G243" s="552">
        <f t="shared" si="93"/>
        <v>23.531999999999996</v>
      </c>
      <c r="H243" s="552">
        <f t="shared" si="93"/>
        <v>4.2</v>
      </c>
      <c r="I243" s="552">
        <f t="shared" si="93"/>
        <v>0.2</v>
      </c>
      <c r="J243" s="552">
        <f t="shared" si="93"/>
        <v>0</v>
      </c>
      <c r="K243" s="552">
        <f t="shared" si="93"/>
        <v>7.805</v>
      </c>
      <c r="L243" s="552">
        <f t="shared" si="93"/>
        <v>10.927</v>
      </c>
      <c r="M243" s="552">
        <f t="shared" si="93"/>
        <v>0</v>
      </c>
      <c r="N243" s="552">
        <f t="shared" si="93"/>
        <v>0</v>
      </c>
      <c r="O243" s="552">
        <f t="shared" si="93"/>
        <v>0</v>
      </c>
      <c r="P243" s="552">
        <f t="shared" si="93"/>
        <v>0</v>
      </c>
      <c r="Q243" s="552">
        <f t="shared" si="93"/>
        <v>0</v>
      </c>
      <c r="R243" s="552">
        <f t="shared" si="93"/>
        <v>0</v>
      </c>
      <c r="S243" s="552">
        <f t="shared" si="93"/>
        <v>0</v>
      </c>
      <c r="T243" s="552">
        <f t="shared" si="93"/>
        <v>0</v>
      </c>
      <c r="U243" s="552">
        <f t="shared" si="93"/>
        <v>0</v>
      </c>
      <c r="V243" s="552">
        <f t="shared" si="93"/>
        <v>0</v>
      </c>
      <c r="W243" s="552">
        <f t="shared" si="93"/>
        <v>0.4</v>
      </c>
      <c r="X243" s="552">
        <f t="shared" si="93"/>
        <v>3.6449499999999997</v>
      </c>
      <c r="Y243" s="563">
        <f>ROUNDUP(Y244,-3)</f>
        <v>761455000</v>
      </c>
      <c r="Z243" s="563"/>
      <c r="AA243" s="17">
        <f>+Y243+Y253+Y264+Y271</f>
        <v>18762280212</v>
      </c>
      <c r="AB243" s="17"/>
      <c r="AC243" s="17"/>
      <c r="AD243" s="17"/>
    </row>
    <row r="244" spans="1:30" ht="15">
      <c r="A244" s="14" t="s">
        <v>243</v>
      </c>
      <c r="B244" s="596" t="s">
        <v>268</v>
      </c>
      <c r="C244" s="552"/>
      <c r="D244" s="552"/>
      <c r="E244" s="552">
        <f>SUM(E245:E250)</f>
        <v>42.58695</v>
      </c>
      <c r="F244" s="552">
        <f aca="true" t="shared" si="94" ref="F244:X244">SUM(F245:F250)</f>
        <v>15.41</v>
      </c>
      <c r="G244" s="552">
        <f t="shared" si="94"/>
        <v>23.531999999999996</v>
      </c>
      <c r="H244" s="552">
        <f t="shared" si="94"/>
        <v>4.2</v>
      </c>
      <c r="I244" s="552">
        <f t="shared" si="94"/>
        <v>0.2</v>
      </c>
      <c r="J244" s="552">
        <f t="shared" si="94"/>
        <v>0</v>
      </c>
      <c r="K244" s="552">
        <f t="shared" si="94"/>
        <v>7.805</v>
      </c>
      <c r="L244" s="552">
        <f t="shared" si="94"/>
        <v>10.927</v>
      </c>
      <c r="M244" s="552">
        <f t="shared" si="94"/>
        <v>0</v>
      </c>
      <c r="N244" s="552">
        <f t="shared" si="94"/>
        <v>0</v>
      </c>
      <c r="O244" s="552">
        <f t="shared" si="94"/>
        <v>0</v>
      </c>
      <c r="P244" s="552">
        <f t="shared" si="94"/>
        <v>0</v>
      </c>
      <c r="Q244" s="552">
        <f t="shared" si="94"/>
        <v>0</v>
      </c>
      <c r="R244" s="552">
        <f t="shared" si="94"/>
        <v>0</v>
      </c>
      <c r="S244" s="552">
        <f t="shared" si="94"/>
        <v>0</v>
      </c>
      <c r="T244" s="552">
        <f t="shared" si="94"/>
        <v>0</v>
      </c>
      <c r="U244" s="552">
        <f t="shared" si="94"/>
        <v>0</v>
      </c>
      <c r="V244" s="552">
        <f t="shared" si="94"/>
        <v>0</v>
      </c>
      <c r="W244" s="552">
        <f t="shared" si="94"/>
        <v>0.4</v>
      </c>
      <c r="X244" s="552">
        <f t="shared" si="94"/>
        <v>3.6449499999999997</v>
      </c>
      <c r="Y244" s="589">
        <f>ROUNDUP(SUM(Y245:Y250),-3)</f>
        <v>761455000</v>
      </c>
      <c r="Z244" s="563"/>
      <c r="AA244" s="17">
        <f>+AA243/1490000*280000</f>
        <v>3525797623.731544</v>
      </c>
      <c r="AB244" s="17"/>
      <c r="AC244" s="17"/>
      <c r="AD244" s="17"/>
    </row>
    <row r="245" spans="1:30" ht="15">
      <c r="A245" s="4">
        <v>1</v>
      </c>
      <c r="B245" s="646" t="s">
        <v>269</v>
      </c>
      <c r="C245" s="515"/>
      <c r="D245" s="515"/>
      <c r="E245" s="515">
        <f aca="true" t="shared" si="95" ref="E245:E252">F245+G245+X245</f>
        <v>6.374499999999999</v>
      </c>
      <c r="F245" s="551">
        <v>2.34</v>
      </c>
      <c r="G245" s="515">
        <f aca="true" t="shared" si="96" ref="G245:G252">H245+I245+J245+K245+L245+M245+N245+O245+P245+Q245+R245+S245+T245+U245+W245</f>
        <v>3.508</v>
      </c>
      <c r="H245" s="515">
        <v>0.7</v>
      </c>
      <c r="I245" s="515"/>
      <c r="J245" s="592"/>
      <c r="K245" s="515">
        <f>(F245+I245+J245)*0.5</f>
        <v>1.17</v>
      </c>
      <c r="L245" s="515">
        <f aca="true" t="shared" si="97" ref="L245:L250">0.7*(F245+I245)</f>
        <v>1.638</v>
      </c>
      <c r="M245" s="515"/>
      <c r="N245" s="515"/>
      <c r="O245" s="515"/>
      <c r="P245" s="515"/>
      <c r="Q245" s="515"/>
      <c r="R245" s="515"/>
      <c r="S245" s="551"/>
      <c r="T245" s="515"/>
      <c r="U245" s="515"/>
      <c r="V245" s="515"/>
      <c r="W245" s="515"/>
      <c r="X245" s="515">
        <f>(F245+I245+J245+M245)*0.225</f>
        <v>0.5265</v>
      </c>
      <c r="Y245" s="2">
        <f>E245*1490000*12</f>
        <v>113976060</v>
      </c>
      <c r="Z245" s="2"/>
      <c r="AA245" s="22"/>
      <c r="AB245" s="22"/>
      <c r="AC245" s="22"/>
      <c r="AD245" s="22"/>
    </row>
    <row r="246" spans="1:30" ht="15">
      <c r="A246" s="4">
        <v>2</v>
      </c>
      <c r="B246" s="646" t="s">
        <v>239</v>
      </c>
      <c r="C246" s="515"/>
      <c r="D246" s="515"/>
      <c r="E246" s="515">
        <f t="shared" si="95"/>
        <v>5.9161</v>
      </c>
      <c r="F246" s="551">
        <v>2.06</v>
      </c>
      <c r="G246" s="515">
        <f t="shared" si="96"/>
        <v>3.372</v>
      </c>
      <c r="H246" s="515">
        <v>0.7</v>
      </c>
      <c r="I246" s="515"/>
      <c r="J246" s="515"/>
      <c r="K246" s="515">
        <f aca="true" t="shared" si="98" ref="K246:K268">(F246+I246+J246)*0.5</f>
        <v>1.03</v>
      </c>
      <c r="L246" s="515">
        <f t="shared" si="97"/>
        <v>1.442</v>
      </c>
      <c r="M246" s="515"/>
      <c r="N246" s="515"/>
      <c r="O246" s="515"/>
      <c r="P246" s="515"/>
      <c r="Q246" s="515"/>
      <c r="R246" s="515"/>
      <c r="S246" s="551"/>
      <c r="T246" s="515"/>
      <c r="U246" s="515"/>
      <c r="V246" s="515"/>
      <c r="W246" s="515">
        <v>0.2</v>
      </c>
      <c r="X246" s="515">
        <f aca="true" t="shared" si="99" ref="X246:X252">(F246+I246+J246+M246)*0.235</f>
        <v>0.4841</v>
      </c>
      <c r="Y246" s="2">
        <f>E246*1490000*12</f>
        <v>105779868</v>
      </c>
      <c r="Z246" s="2"/>
      <c r="AA246" s="22"/>
      <c r="AB246" s="22"/>
      <c r="AC246" s="22"/>
      <c r="AD246" s="22"/>
    </row>
    <row r="247" spans="1:30" ht="15">
      <c r="A247" s="4">
        <v>3</v>
      </c>
      <c r="B247" s="646" t="s">
        <v>236</v>
      </c>
      <c r="C247" s="515"/>
      <c r="D247" s="515"/>
      <c r="E247" s="515">
        <f t="shared" si="95"/>
        <v>7.40145</v>
      </c>
      <c r="F247" s="551">
        <v>2.67</v>
      </c>
      <c r="G247" s="515">
        <f t="shared" si="96"/>
        <v>4.104</v>
      </c>
      <c r="H247" s="515">
        <v>0.7</v>
      </c>
      <c r="I247" s="515"/>
      <c r="J247" s="515"/>
      <c r="K247" s="515">
        <f t="shared" si="98"/>
        <v>1.335</v>
      </c>
      <c r="L247" s="515">
        <f t="shared" si="97"/>
        <v>1.8689999999999998</v>
      </c>
      <c r="M247" s="515"/>
      <c r="N247" s="515"/>
      <c r="O247" s="515"/>
      <c r="P247" s="515"/>
      <c r="Q247" s="515"/>
      <c r="R247" s="515"/>
      <c r="S247" s="551"/>
      <c r="T247" s="515"/>
      <c r="U247" s="515"/>
      <c r="V247" s="515"/>
      <c r="W247" s="515">
        <v>0.2</v>
      </c>
      <c r="X247" s="515">
        <f t="shared" si="99"/>
        <v>0.62745</v>
      </c>
      <c r="Y247" s="2">
        <f>E247*1490000*12</f>
        <v>132337926</v>
      </c>
      <c r="Z247" s="2"/>
      <c r="AA247" s="22"/>
      <c r="AB247" s="22"/>
      <c r="AC247" s="22"/>
      <c r="AD247" s="22"/>
    </row>
    <row r="248" spans="1:30" ht="15">
      <c r="A248" s="4">
        <v>4</v>
      </c>
      <c r="B248" s="646" t="s">
        <v>270</v>
      </c>
      <c r="C248" s="515"/>
      <c r="D248" s="515"/>
      <c r="E248" s="515">
        <f t="shared" si="95"/>
        <v>8.80855</v>
      </c>
      <c r="F248" s="551">
        <v>3.33</v>
      </c>
      <c r="G248" s="515">
        <f t="shared" si="96"/>
        <v>4.696</v>
      </c>
      <c r="H248" s="515">
        <v>0.7</v>
      </c>
      <c r="I248" s="515"/>
      <c r="J248" s="515"/>
      <c r="K248" s="515">
        <f>(F248+I248+J248)*0.5</f>
        <v>1.665</v>
      </c>
      <c r="L248" s="515">
        <f t="shared" si="97"/>
        <v>2.331</v>
      </c>
      <c r="M248" s="515"/>
      <c r="N248" s="515"/>
      <c r="O248" s="515"/>
      <c r="P248" s="515"/>
      <c r="Q248" s="515"/>
      <c r="R248" s="515"/>
      <c r="S248" s="551"/>
      <c r="T248" s="515"/>
      <c r="U248" s="515"/>
      <c r="V248" s="515"/>
      <c r="W248" s="515"/>
      <c r="X248" s="515">
        <f t="shared" si="99"/>
        <v>0.78255</v>
      </c>
      <c r="Y248" s="2">
        <f>E248*1490000*12</f>
        <v>157496874</v>
      </c>
      <c r="Z248" s="2"/>
      <c r="AA248" s="22"/>
      <c r="AB248" s="22"/>
      <c r="AC248" s="22"/>
      <c r="AD248" s="22"/>
    </row>
    <row r="249" spans="1:30" ht="15">
      <c r="A249" s="4">
        <v>5</v>
      </c>
      <c r="B249" s="646" t="s">
        <v>545</v>
      </c>
      <c r="C249" s="552"/>
      <c r="D249" s="552"/>
      <c r="E249" s="515">
        <f t="shared" si="95"/>
        <v>6.3979</v>
      </c>
      <c r="F249" s="551">
        <v>2.34</v>
      </c>
      <c r="G249" s="515">
        <f t="shared" si="96"/>
        <v>3.508</v>
      </c>
      <c r="H249" s="515">
        <v>0.7</v>
      </c>
      <c r="I249" s="515"/>
      <c r="J249" s="515"/>
      <c r="K249" s="515">
        <f>(F249+I249+J249)*0.5</f>
        <v>1.17</v>
      </c>
      <c r="L249" s="515">
        <f t="shared" si="97"/>
        <v>1.638</v>
      </c>
      <c r="M249" s="552"/>
      <c r="N249" s="552"/>
      <c r="O249" s="552"/>
      <c r="P249" s="552"/>
      <c r="Q249" s="552"/>
      <c r="R249" s="552"/>
      <c r="S249" s="647"/>
      <c r="T249" s="552"/>
      <c r="U249" s="552"/>
      <c r="V249" s="552"/>
      <c r="W249" s="552"/>
      <c r="X249" s="515">
        <f>(F249+I249)*23.5%</f>
        <v>0.5498999999999999</v>
      </c>
      <c r="Y249" s="2">
        <f>ROUNDUP(E249*1490000*12,0)</f>
        <v>114394452</v>
      </c>
      <c r="Z249" s="19"/>
      <c r="AA249" s="17"/>
      <c r="AB249" s="17"/>
      <c r="AC249" s="17"/>
      <c r="AD249" s="17"/>
    </row>
    <row r="250" spans="1:30" ht="15">
      <c r="A250" s="4">
        <v>6</v>
      </c>
      <c r="B250" s="646" t="s">
        <v>237</v>
      </c>
      <c r="C250" s="515"/>
      <c r="D250" s="515"/>
      <c r="E250" s="515">
        <f t="shared" si="95"/>
        <v>7.68845</v>
      </c>
      <c r="F250" s="551">
        <v>2.67</v>
      </c>
      <c r="G250" s="515">
        <f t="shared" si="96"/>
        <v>4.343999999999999</v>
      </c>
      <c r="H250" s="515">
        <v>0.7</v>
      </c>
      <c r="I250" s="515">
        <v>0.2</v>
      </c>
      <c r="J250" s="515"/>
      <c r="K250" s="515">
        <f t="shared" si="98"/>
        <v>1.435</v>
      </c>
      <c r="L250" s="515">
        <f t="shared" si="97"/>
        <v>2.009</v>
      </c>
      <c r="M250" s="515"/>
      <c r="N250" s="515"/>
      <c r="O250" s="515"/>
      <c r="P250" s="515"/>
      <c r="Q250" s="515"/>
      <c r="R250" s="515"/>
      <c r="S250" s="551"/>
      <c r="T250" s="515"/>
      <c r="U250" s="515"/>
      <c r="V250" s="515"/>
      <c r="W250" s="515"/>
      <c r="X250" s="515">
        <f t="shared" si="99"/>
        <v>0.67445</v>
      </c>
      <c r="Y250" s="2">
        <f>E250*1490000*12</f>
        <v>137469486</v>
      </c>
      <c r="Z250" s="2"/>
      <c r="AA250" s="22"/>
      <c r="AB250" s="22"/>
      <c r="AC250" s="22"/>
      <c r="AD250" s="22"/>
    </row>
    <row r="251" spans="1:30" ht="15">
      <c r="A251" s="4">
        <v>7</v>
      </c>
      <c r="B251" s="646"/>
      <c r="C251" s="515"/>
      <c r="D251" s="515"/>
      <c r="E251" s="515">
        <f t="shared" si="95"/>
        <v>0</v>
      </c>
      <c r="F251" s="551"/>
      <c r="G251" s="515">
        <f t="shared" si="96"/>
        <v>0</v>
      </c>
      <c r="H251" s="515"/>
      <c r="I251" s="515"/>
      <c r="J251" s="515"/>
      <c r="K251" s="515">
        <f t="shared" si="98"/>
        <v>0</v>
      </c>
      <c r="L251" s="515"/>
      <c r="M251" s="515"/>
      <c r="N251" s="515"/>
      <c r="O251" s="515"/>
      <c r="P251" s="515"/>
      <c r="Q251" s="515"/>
      <c r="R251" s="515"/>
      <c r="S251" s="515"/>
      <c r="T251" s="515"/>
      <c r="U251" s="515"/>
      <c r="V251" s="515"/>
      <c r="W251" s="515"/>
      <c r="X251" s="515">
        <f t="shared" si="99"/>
        <v>0</v>
      </c>
      <c r="Y251" s="2"/>
      <c r="Z251" s="18"/>
      <c r="AA251" s="17"/>
      <c r="AB251" s="17"/>
      <c r="AC251" s="17"/>
      <c r="AD251" s="17"/>
    </row>
    <row r="252" spans="1:30" ht="15">
      <c r="A252" s="4">
        <v>8</v>
      </c>
      <c r="B252" s="646"/>
      <c r="C252" s="515"/>
      <c r="D252" s="515"/>
      <c r="E252" s="515">
        <f t="shared" si="95"/>
        <v>0</v>
      </c>
      <c r="F252" s="551"/>
      <c r="G252" s="515">
        <f t="shared" si="96"/>
        <v>0</v>
      </c>
      <c r="H252" s="515"/>
      <c r="I252" s="515"/>
      <c r="J252" s="515"/>
      <c r="K252" s="515">
        <f t="shared" si="98"/>
        <v>0</v>
      </c>
      <c r="L252" s="515"/>
      <c r="M252" s="515"/>
      <c r="N252" s="515"/>
      <c r="O252" s="515"/>
      <c r="P252" s="515"/>
      <c r="Q252" s="515"/>
      <c r="R252" s="515"/>
      <c r="S252" s="515"/>
      <c r="T252" s="515"/>
      <c r="U252" s="515"/>
      <c r="V252" s="515"/>
      <c r="W252" s="515"/>
      <c r="X252" s="515">
        <f t="shared" si="99"/>
        <v>0</v>
      </c>
      <c r="Y252" s="2"/>
      <c r="Z252" s="18"/>
      <c r="AA252" s="17"/>
      <c r="AB252" s="17"/>
      <c r="AC252" s="17"/>
      <c r="AD252" s="17"/>
    </row>
    <row r="253" spans="1:30" ht="38.25">
      <c r="A253" s="14">
        <v>5</v>
      </c>
      <c r="B253" s="10" t="s">
        <v>170</v>
      </c>
      <c r="C253" s="552">
        <v>6</v>
      </c>
      <c r="D253" s="552">
        <v>5</v>
      </c>
      <c r="E253" s="552">
        <f>SUM(E254:E260)</f>
        <v>45.39639</v>
      </c>
      <c r="F253" s="552">
        <f>SUM(F254:F260)</f>
        <v>17.14</v>
      </c>
      <c r="G253" s="552">
        <f aca="true" t="shared" si="100" ref="G253:X253">SUM(G254:G260)</f>
        <v>24.146239999999995</v>
      </c>
      <c r="H253" s="552">
        <f t="shared" si="100"/>
        <v>4.2</v>
      </c>
      <c r="I253" s="552">
        <f t="shared" si="100"/>
        <v>0.35</v>
      </c>
      <c r="J253" s="552">
        <f t="shared" si="100"/>
        <v>0.2842</v>
      </c>
      <c r="K253" s="552">
        <f t="shared" si="100"/>
        <v>8.8871</v>
      </c>
      <c r="L253" s="552">
        <f t="shared" si="100"/>
        <v>9.42494</v>
      </c>
      <c r="M253" s="552">
        <f t="shared" si="100"/>
        <v>0</v>
      </c>
      <c r="N253" s="552">
        <f t="shared" si="100"/>
        <v>0</v>
      </c>
      <c r="O253" s="552">
        <f t="shared" si="100"/>
        <v>0</v>
      </c>
      <c r="P253" s="552">
        <f t="shared" si="100"/>
        <v>0</v>
      </c>
      <c r="Q253" s="552">
        <f t="shared" si="100"/>
        <v>1</v>
      </c>
      <c r="R253" s="552">
        <f t="shared" si="100"/>
        <v>0</v>
      </c>
      <c r="S253" s="552">
        <f t="shared" si="100"/>
        <v>0</v>
      </c>
      <c r="T253" s="552">
        <f t="shared" si="100"/>
        <v>0</v>
      </c>
      <c r="U253" s="552">
        <f t="shared" si="100"/>
        <v>0</v>
      </c>
      <c r="V253" s="552">
        <f t="shared" si="100"/>
        <v>0</v>
      </c>
      <c r="W253" s="552">
        <f t="shared" si="100"/>
        <v>0</v>
      </c>
      <c r="X253" s="552">
        <f t="shared" si="100"/>
        <v>4.11015</v>
      </c>
      <c r="Y253" s="563">
        <f>ROUNDUP(SUM(Y254:Y260),-3)</f>
        <v>811688000</v>
      </c>
      <c r="Z253" s="19"/>
      <c r="AA253" s="17"/>
      <c r="AB253" s="17"/>
      <c r="AC253" s="17"/>
      <c r="AD253" s="17"/>
    </row>
    <row r="254" spans="1:30" ht="15">
      <c r="A254" s="4">
        <v>1</v>
      </c>
      <c r="B254" s="646" t="s">
        <v>234</v>
      </c>
      <c r="C254" s="552"/>
      <c r="D254" s="552"/>
      <c r="E254" s="515">
        <f aca="true" t="shared" si="101" ref="E254:E259">F254+G254+X254</f>
        <v>9.17785</v>
      </c>
      <c r="F254" s="551">
        <v>3.96</v>
      </c>
      <c r="G254" s="515">
        <f aca="true" t="shared" si="102" ref="G254:G259">H254+I254+J254+K254+L254+M254+N254+O254+P254+Q254+R254+S254+T254+U254+W254</f>
        <v>4.205</v>
      </c>
      <c r="H254" s="515">
        <v>0.7</v>
      </c>
      <c r="I254" s="515">
        <v>0.35</v>
      </c>
      <c r="J254" s="515"/>
      <c r="K254" s="515">
        <f t="shared" si="98"/>
        <v>2.155</v>
      </c>
      <c r="L254" s="552"/>
      <c r="M254" s="552"/>
      <c r="N254" s="552"/>
      <c r="O254" s="552"/>
      <c r="P254" s="552"/>
      <c r="Q254" s="552">
        <v>1</v>
      </c>
      <c r="R254" s="552"/>
      <c r="S254" s="647"/>
      <c r="T254" s="552"/>
      <c r="U254" s="552"/>
      <c r="V254" s="552"/>
      <c r="W254" s="552"/>
      <c r="X254" s="515">
        <f aca="true" t="shared" si="103" ref="X254:X259">(F254+I254)*23.5%</f>
        <v>1.0128499999999998</v>
      </c>
      <c r="Y254" s="2">
        <f aca="true" t="shared" si="104" ref="Y254:Y259">ROUNDUP(E254*1490000*12,0)</f>
        <v>164099958</v>
      </c>
      <c r="Z254" s="19"/>
      <c r="AA254" s="17"/>
      <c r="AB254" s="17"/>
      <c r="AC254" s="17"/>
      <c r="AD254" s="17"/>
    </row>
    <row r="255" spans="1:30" ht="15">
      <c r="A255" s="4">
        <v>2</v>
      </c>
      <c r="B255" s="646" t="s">
        <v>169</v>
      </c>
      <c r="C255" s="552"/>
      <c r="D255" s="552"/>
      <c r="E255" s="515">
        <f t="shared" si="101"/>
        <v>11.21134</v>
      </c>
      <c r="F255" s="551">
        <v>4.06</v>
      </c>
      <c r="G255" s="515">
        <f t="shared" si="102"/>
        <v>6.197239999999999</v>
      </c>
      <c r="H255" s="515">
        <v>0.7</v>
      </c>
      <c r="I255" s="515"/>
      <c r="J255" s="515">
        <f>0.07*F255</f>
        <v>0.2842</v>
      </c>
      <c r="K255" s="515">
        <f>(F255+I255+J255)*0.5</f>
        <v>2.1721</v>
      </c>
      <c r="L255" s="515">
        <f>0.7*(F255+I255+J255)</f>
        <v>3.0409399999999995</v>
      </c>
      <c r="M255" s="552"/>
      <c r="N255" s="552"/>
      <c r="O255" s="552"/>
      <c r="P255" s="552"/>
      <c r="Q255" s="552"/>
      <c r="R255" s="552"/>
      <c r="S255" s="647"/>
      <c r="T255" s="552"/>
      <c r="U255" s="552"/>
      <c r="V255" s="552"/>
      <c r="W255" s="552"/>
      <c r="X255" s="515">
        <f>(F255+I255)*23.5%</f>
        <v>0.9540999999999998</v>
      </c>
      <c r="Y255" s="2">
        <f>ROUNDUP(E255*1490000*12,0)</f>
        <v>200458760</v>
      </c>
      <c r="Z255" s="19"/>
      <c r="AA255" s="17"/>
      <c r="AB255" s="17"/>
      <c r="AC255" s="17"/>
      <c r="AD255" s="17"/>
    </row>
    <row r="256" spans="1:30" ht="15">
      <c r="A256" s="4">
        <v>3</v>
      </c>
      <c r="B256" s="646" t="s">
        <v>168</v>
      </c>
      <c r="C256" s="552"/>
      <c r="D256" s="552"/>
      <c r="E256" s="515">
        <f t="shared" si="101"/>
        <v>6.3979</v>
      </c>
      <c r="F256" s="551">
        <v>2.34</v>
      </c>
      <c r="G256" s="515">
        <f t="shared" si="102"/>
        <v>3.508</v>
      </c>
      <c r="H256" s="515">
        <v>0.7</v>
      </c>
      <c r="I256" s="515"/>
      <c r="J256" s="515"/>
      <c r="K256" s="515">
        <f t="shared" si="98"/>
        <v>1.17</v>
      </c>
      <c r="L256" s="515">
        <f>0.7*(F256+I256+J256)</f>
        <v>1.638</v>
      </c>
      <c r="M256" s="552"/>
      <c r="N256" s="552"/>
      <c r="O256" s="552"/>
      <c r="P256" s="552"/>
      <c r="Q256" s="552"/>
      <c r="R256" s="552"/>
      <c r="S256" s="647"/>
      <c r="T256" s="552"/>
      <c r="U256" s="552"/>
      <c r="V256" s="552"/>
      <c r="W256" s="552"/>
      <c r="X256" s="515">
        <f t="shared" si="103"/>
        <v>0.5498999999999999</v>
      </c>
      <c r="Y256" s="2">
        <f t="shared" si="104"/>
        <v>114394452</v>
      </c>
      <c r="Z256" s="19"/>
      <c r="AA256" s="17"/>
      <c r="AB256" s="17"/>
      <c r="AC256" s="17"/>
      <c r="AD256" s="17"/>
    </row>
    <row r="257" spans="1:30" ht="15">
      <c r="A257" s="4">
        <v>4</v>
      </c>
      <c r="B257" s="646" t="s">
        <v>144</v>
      </c>
      <c r="C257" s="552"/>
      <c r="D257" s="552"/>
      <c r="E257" s="515">
        <f t="shared" si="101"/>
        <v>6.3979</v>
      </c>
      <c r="F257" s="551">
        <v>2.34</v>
      </c>
      <c r="G257" s="515">
        <f t="shared" si="102"/>
        <v>3.508</v>
      </c>
      <c r="H257" s="515">
        <v>0.7</v>
      </c>
      <c r="I257" s="515"/>
      <c r="J257" s="515"/>
      <c r="K257" s="515">
        <f t="shared" si="98"/>
        <v>1.17</v>
      </c>
      <c r="L257" s="515">
        <f>0.7*(F257+I257+J257)</f>
        <v>1.638</v>
      </c>
      <c r="M257" s="552"/>
      <c r="N257" s="552"/>
      <c r="O257" s="552"/>
      <c r="P257" s="552"/>
      <c r="Q257" s="552"/>
      <c r="R257" s="552"/>
      <c r="S257" s="647"/>
      <c r="T257" s="552"/>
      <c r="U257" s="552"/>
      <c r="V257" s="552"/>
      <c r="W257" s="552"/>
      <c r="X257" s="515">
        <f t="shared" si="103"/>
        <v>0.5498999999999999</v>
      </c>
      <c r="Y257" s="2">
        <f t="shared" si="104"/>
        <v>114394452</v>
      </c>
      <c r="Z257" s="19"/>
      <c r="AA257" s="17"/>
      <c r="AB257" s="17"/>
      <c r="AC257" s="17"/>
      <c r="AD257" s="17"/>
    </row>
    <row r="258" spans="1:30" ht="15">
      <c r="A258" s="4">
        <v>5</v>
      </c>
      <c r="B258" s="646" t="s">
        <v>166</v>
      </c>
      <c r="C258" s="552"/>
      <c r="D258" s="552"/>
      <c r="E258" s="515">
        <f t="shared" si="101"/>
        <v>6.3979</v>
      </c>
      <c r="F258" s="551">
        <v>2.34</v>
      </c>
      <c r="G258" s="515">
        <f t="shared" si="102"/>
        <v>3.508</v>
      </c>
      <c r="H258" s="515">
        <v>0.7</v>
      </c>
      <c r="I258" s="515"/>
      <c r="J258" s="515"/>
      <c r="K258" s="515">
        <f>(F258+I258+J258)*0.5</f>
        <v>1.17</v>
      </c>
      <c r="L258" s="515">
        <f>0.7*(F258+I258+J258)</f>
        <v>1.638</v>
      </c>
      <c r="M258" s="552"/>
      <c r="N258" s="552"/>
      <c r="O258" s="552"/>
      <c r="P258" s="552"/>
      <c r="Q258" s="552"/>
      <c r="R258" s="552"/>
      <c r="S258" s="647"/>
      <c r="T258" s="552"/>
      <c r="U258" s="552"/>
      <c r="V258" s="552"/>
      <c r="W258" s="552"/>
      <c r="X258" s="515">
        <f t="shared" si="103"/>
        <v>0.5498999999999999</v>
      </c>
      <c r="Y258" s="2">
        <f t="shared" si="104"/>
        <v>114394452</v>
      </c>
      <c r="Z258" s="19"/>
      <c r="AA258" s="17"/>
      <c r="AB258" s="17"/>
      <c r="AC258" s="17"/>
      <c r="AD258" s="17"/>
    </row>
    <row r="259" spans="1:30" ht="15">
      <c r="A259" s="4">
        <v>6</v>
      </c>
      <c r="B259" s="646" t="s">
        <v>165</v>
      </c>
      <c r="C259" s="552"/>
      <c r="D259" s="552"/>
      <c r="E259" s="515">
        <f t="shared" si="101"/>
        <v>5.8135</v>
      </c>
      <c r="F259" s="551">
        <v>2.1</v>
      </c>
      <c r="G259" s="515">
        <f t="shared" si="102"/>
        <v>3.2199999999999998</v>
      </c>
      <c r="H259" s="515">
        <v>0.7</v>
      </c>
      <c r="I259" s="515"/>
      <c r="J259" s="515"/>
      <c r="K259" s="515">
        <f>(F259+I259+J259)*0.5</f>
        <v>1.05</v>
      </c>
      <c r="L259" s="515">
        <f>0.7*(F259+I259+J259)</f>
        <v>1.47</v>
      </c>
      <c r="M259" s="552"/>
      <c r="N259" s="552"/>
      <c r="O259" s="552"/>
      <c r="P259" s="552"/>
      <c r="Q259" s="552"/>
      <c r="R259" s="552"/>
      <c r="S259" s="647"/>
      <c r="T259" s="552"/>
      <c r="U259" s="552"/>
      <c r="V259" s="552"/>
      <c r="W259" s="552"/>
      <c r="X259" s="515">
        <f t="shared" si="103"/>
        <v>0.4935</v>
      </c>
      <c r="Y259" s="2">
        <f t="shared" si="104"/>
        <v>103945380</v>
      </c>
      <c r="Z259" s="19"/>
      <c r="AA259" s="17"/>
      <c r="AB259" s="17"/>
      <c r="AC259" s="17"/>
      <c r="AD259" s="17"/>
    </row>
    <row r="260" spans="1:30" ht="15">
      <c r="A260" s="4"/>
      <c r="B260" s="646"/>
      <c r="C260" s="552"/>
      <c r="D260" s="552"/>
      <c r="E260" s="515"/>
      <c r="F260" s="551"/>
      <c r="G260" s="515"/>
      <c r="H260" s="515"/>
      <c r="I260" s="515"/>
      <c r="J260" s="515"/>
      <c r="K260" s="515"/>
      <c r="L260" s="552"/>
      <c r="M260" s="552"/>
      <c r="N260" s="552"/>
      <c r="O260" s="552"/>
      <c r="P260" s="552"/>
      <c r="Q260" s="552"/>
      <c r="R260" s="552"/>
      <c r="S260" s="647"/>
      <c r="T260" s="552"/>
      <c r="U260" s="552"/>
      <c r="V260" s="552"/>
      <c r="W260" s="552"/>
      <c r="X260" s="515"/>
      <c r="Y260" s="2"/>
      <c r="Z260" s="19"/>
      <c r="AA260" s="17"/>
      <c r="AB260" s="17"/>
      <c r="AC260" s="17"/>
      <c r="AD260" s="17"/>
    </row>
    <row r="261" spans="1:30" ht="15">
      <c r="A261" s="504">
        <v>6</v>
      </c>
      <c r="B261" s="10" t="s">
        <v>163</v>
      </c>
      <c r="C261" s="503"/>
      <c r="D261" s="503"/>
      <c r="E261" s="515"/>
      <c r="F261" s="507"/>
      <c r="G261" s="515"/>
      <c r="H261" s="503"/>
      <c r="I261" s="503"/>
      <c r="J261" s="503"/>
      <c r="K261" s="515"/>
      <c r="L261" s="503"/>
      <c r="M261" s="503"/>
      <c r="N261" s="503"/>
      <c r="O261" s="503"/>
      <c r="P261" s="503"/>
      <c r="Q261" s="503"/>
      <c r="R261" s="503"/>
      <c r="S261" s="508"/>
      <c r="T261" s="503"/>
      <c r="U261" s="503"/>
      <c r="V261" s="503"/>
      <c r="W261" s="503"/>
      <c r="X261" s="515"/>
      <c r="Y261" s="2"/>
      <c r="Z261" s="503"/>
      <c r="AA261" s="17"/>
      <c r="AB261" s="17"/>
      <c r="AC261" s="17"/>
      <c r="AD261" s="17"/>
    </row>
    <row r="262" spans="1:30" ht="15">
      <c r="A262" s="504">
        <v>7</v>
      </c>
      <c r="B262" s="10" t="s">
        <v>162</v>
      </c>
      <c r="C262" s="503"/>
      <c r="D262" s="503"/>
      <c r="E262" s="515"/>
      <c r="F262" s="507"/>
      <c r="G262" s="515"/>
      <c r="H262" s="503"/>
      <c r="I262" s="503"/>
      <c r="J262" s="503"/>
      <c r="K262" s="515"/>
      <c r="L262" s="503"/>
      <c r="M262" s="503"/>
      <c r="N262" s="503"/>
      <c r="O262" s="503"/>
      <c r="P262" s="503"/>
      <c r="Q262" s="503"/>
      <c r="R262" s="503"/>
      <c r="S262" s="508"/>
      <c r="T262" s="503"/>
      <c r="U262" s="503"/>
      <c r="V262" s="503"/>
      <c r="W262" s="503"/>
      <c r="X262" s="515"/>
      <c r="Y262" s="2"/>
      <c r="Z262" s="503"/>
      <c r="AA262" s="17"/>
      <c r="AB262" s="17"/>
      <c r="AC262" s="17"/>
      <c r="AD262" s="17"/>
    </row>
    <row r="263" spans="1:30" ht="15">
      <c r="A263" s="504">
        <v>8</v>
      </c>
      <c r="B263" s="10" t="s">
        <v>10</v>
      </c>
      <c r="C263" s="501"/>
      <c r="D263" s="501"/>
      <c r="E263" s="552">
        <f>E264</f>
        <v>46.392399999999995</v>
      </c>
      <c r="F263" s="647">
        <f aca="true" t="shared" si="105" ref="F263:Y263">F264</f>
        <v>17.04</v>
      </c>
      <c r="G263" s="552">
        <f t="shared" si="105"/>
        <v>25.348</v>
      </c>
      <c r="H263" s="552">
        <f t="shared" si="105"/>
        <v>4.9</v>
      </c>
      <c r="I263" s="552">
        <f t="shared" si="105"/>
        <v>0</v>
      </c>
      <c r="J263" s="552">
        <f t="shared" si="105"/>
        <v>0</v>
      </c>
      <c r="K263" s="552">
        <f t="shared" si="105"/>
        <v>8.52</v>
      </c>
      <c r="L263" s="552">
        <f t="shared" si="105"/>
        <v>11.927999999999999</v>
      </c>
      <c r="M263" s="552">
        <f t="shared" si="105"/>
        <v>0</v>
      </c>
      <c r="N263" s="552">
        <f t="shared" si="105"/>
        <v>0</v>
      </c>
      <c r="O263" s="552">
        <f t="shared" si="105"/>
        <v>0</v>
      </c>
      <c r="P263" s="552">
        <f t="shared" si="105"/>
        <v>0</v>
      </c>
      <c r="Q263" s="552">
        <f t="shared" si="105"/>
        <v>0</v>
      </c>
      <c r="R263" s="552">
        <f t="shared" si="105"/>
        <v>0</v>
      </c>
      <c r="S263" s="552">
        <f t="shared" si="105"/>
        <v>0</v>
      </c>
      <c r="T263" s="552">
        <f t="shared" si="105"/>
        <v>0</v>
      </c>
      <c r="U263" s="552">
        <f t="shared" si="105"/>
        <v>0</v>
      </c>
      <c r="V263" s="552"/>
      <c r="W263" s="552">
        <f t="shared" si="105"/>
        <v>0</v>
      </c>
      <c r="X263" s="552">
        <f t="shared" si="105"/>
        <v>4.0043999999999995</v>
      </c>
      <c r="Y263" s="563">
        <f t="shared" si="105"/>
        <v>829497000</v>
      </c>
      <c r="Z263" s="503"/>
      <c r="AA263" s="17"/>
      <c r="AB263" s="17"/>
      <c r="AC263" s="17"/>
      <c r="AD263" s="17"/>
    </row>
    <row r="264" spans="1:30" ht="15">
      <c r="A264" s="14" t="s">
        <v>161</v>
      </c>
      <c r="B264" s="596" t="s">
        <v>160</v>
      </c>
      <c r="C264" s="552">
        <v>7</v>
      </c>
      <c r="D264" s="552">
        <v>5</v>
      </c>
      <c r="E264" s="552">
        <f>SUM(E265:E270)</f>
        <v>46.392399999999995</v>
      </c>
      <c r="F264" s="552">
        <f aca="true" t="shared" si="106" ref="F264:X264">SUM(F265:F270)</f>
        <v>17.04</v>
      </c>
      <c r="G264" s="552">
        <f t="shared" si="106"/>
        <v>25.348</v>
      </c>
      <c r="H264" s="552">
        <f t="shared" si="106"/>
        <v>4.9</v>
      </c>
      <c r="I264" s="552">
        <f t="shared" si="106"/>
        <v>0</v>
      </c>
      <c r="J264" s="552">
        <f t="shared" si="106"/>
        <v>0</v>
      </c>
      <c r="K264" s="552">
        <f t="shared" si="106"/>
        <v>8.52</v>
      </c>
      <c r="L264" s="552">
        <f t="shared" si="106"/>
        <v>11.927999999999999</v>
      </c>
      <c r="M264" s="552">
        <f t="shared" si="106"/>
        <v>0</v>
      </c>
      <c r="N264" s="552">
        <f t="shared" si="106"/>
        <v>0</v>
      </c>
      <c r="O264" s="552">
        <f t="shared" si="106"/>
        <v>0</v>
      </c>
      <c r="P264" s="552">
        <f t="shared" si="106"/>
        <v>0</v>
      </c>
      <c r="Q264" s="552">
        <f t="shared" si="106"/>
        <v>0</v>
      </c>
      <c r="R264" s="552">
        <f t="shared" si="106"/>
        <v>0</v>
      </c>
      <c r="S264" s="552">
        <f t="shared" si="106"/>
        <v>0</v>
      </c>
      <c r="T264" s="552">
        <f t="shared" si="106"/>
        <v>0</v>
      </c>
      <c r="U264" s="552">
        <f t="shared" si="106"/>
        <v>0</v>
      </c>
      <c r="V264" s="552">
        <f t="shared" si="106"/>
        <v>0</v>
      </c>
      <c r="W264" s="552">
        <f t="shared" si="106"/>
        <v>0</v>
      </c>
      <c r="X264" s="552">
        <f t="shared" si="106"/>
        <v>4.0043999999999995</v>
      </c>
      <c r="Y264" s="552">
        <f>ROUNDUP(SUM(Y265:Y270),-3)</f>
        <v>829497000</v>
      </c>
      <c r="Z264" s="503"/>
      <c r="AA264" s="17"/>
      <c r="AB264" s="17"/>
      <c r="AC264" s="17"/>
      <c r="AD264" s="17"/>
    </row>
    <row r="265" spans="1:30" ht="15">
      <c r="A265" s="4">
        <v>1</v>
      </c>
      <c r="B265" s="646" t="s">
        <v>159</v>
      </c>
      <c r="C265" s="515"/>
      <c r="D265" s="515"/>
      <c r="E265" s="515">
        <f aca="true" t="shared" si="107" ref="E265:E270">F265+G265+X265</f>
        <v>7.2014499999999995</v>
      </c>
      <c r="F265" s="551">
        <v>2.67</v>
      </c>
      <c r="G265" s="515">
        <f aca="true" t="shared" si="108" ref="G265:G270">SUM(H265:W265)</f>
        <v>3.904</v>
      </c>
      <c r="H265" s="515">
        <v>0.7</v>
      </c>
      <c r="I265" s="515"/>
      <c r="J265" s="515"/>
      <c r="K265" s="515">
        <f t="shared" si="98"/>
        <v>1.335</v>
      </c>
      <c r="L265" s="515">
        <f aca="true" t="shared" si="109" ref="L265:L270">0.7*(F265+I265)</f>
        <v>1.8689999999999998</v>
      </c>
      <c r="M265" s="515"/>
      <c r="N265" s="515"/>
      <c r="O265" s="515"/>
      <c r="P265" s="515"/>
      <c r="Q265" s="515"/>
      <c r="R265" s="515"/>
      <c r="S265" s="551"/>
      <c r="T265" s="515"/>
      <c r="U265" s="515"/>
      <c r="V265" s="515"/>
      <c r="W265" s="515"/>
      <c r="X265" s="515">
        <f aca="true" t="shared" si="110" ref="X265:X270">(F265+I265+J265+M265)*0.235</f>
        <v>0.62745</v>
      </c>
      <c r="Y265" s="2">
        <f aca="true" t="shared" si="111" ref="Y265:Y270">E265*1490000*12</f>
        <v>128761926</v>
      </c>
      <c r="Z265" s="18"/>
      <c r="AA265" s="17"/>
      <c r="AB265" s="17"/>
      <c r="AC265" s="17"/>
      <c r="AD265" s="17"/>
    </row>
    <row r="266" spans="1:30" ht="15">
      <c r="A266" s="4">
        <v>2</v>
      </c>
      <c r="B266" s="646" t="s">
        <v>158</v>
      </c>
      <c r="C266" s="515"/>
      <c r="D266" s="515"/>
      <c r="E266" s="515">
        <f t="shared" si="107"/>
        <v>7.2014499999999995</v>
      </c>
      <c r="F266" s="551">
        <v>2.67</v>
      </c>
      <c r="G266" s="515">
        <f t="shared" si="108"/>
        <v>3.904</v>
      </c>
      <c r="H266" s="515">
        <v>0.7</v>
      </c>
      <c r="I266" s="515"/>
      <c r="J266" s="515"/>
      <c r="K266" s="515">
        <f>(F266+I266+J266)*0.5</f>
        <v>1.335</v>
      </c>
      <c r="L266" s="515">
        <f t="shared" si="109"/>
        <v>1.8689999999999998</v>
      </c>
      <c r="M266" s="515"/>
      <c r="N266" s="515"/>
      <c r="O266" s="515"/>
      <c r="P266" s="515"/>
      <c r="Q266" s="515"/>
      <c r="R266" s="515"/>
      <c r="S266" s="551"/>
      <c r="T266" s="515"/>
      <c r="U266" s="515"/>
      <c r="V266" s="515"/>
      <c r="W266" s="515"/>
      <c r="X266" s="515">
        <f t="shared" si="110"/>
        <v>0.62745</v>
      </c>
      <c r="Y266" s="2">
        <f t="shared" si="111"/>
        <v>128761926</v>
      </c>
      <c r="Z266" s="18"/>
      <c r="AA266" s="17"/>
      <c r="AB266" s="17"/>
      <c r="AC266" s="17"/>
      <c r="AD266" s="17"/>
    </row>
    <row r="267" spans="1:30" ht="15">
      <c r="A267" s="4">
        <v>3</v>
      </c>
      <c r="B267" s="646" t="s">
        <v>157</v>
      </c>
      <c r="C267" s="515"/>
      <c r="D267" s="515"/>
      <c r="E267" s="515">
        <f t="shared" si="107"/>
        <v>6.3979</v>
      </c>
      <c r="F267" s="551">
        <v>2.34</v>
      </c>
      <c r="G267" s="515">
        <f t="shared" si="108"/>
        <v>3.508</v>
      </c>
      <c r="H267" s="515">
        <v>0.7</v>
      </c>
      <c r="I267" s="515"/>
      <c r="J267" s="515"/>
      <c r="K267" s="515">
        <f t="shared" si="98"/>
        <v>1.17</v>
      </c>
      <c r="L267" s="515">
        <f t="shared" si="109"/>
        <v>1.638</v>
      </c>
      <c r="M267" s="515"/>
      <c r="N267" s="515"/>
      <c r="O267" s="515"/>
      <c r="P267" s="515"/>
      <c r="Q267" s="515"/>
      <c r="R267" s="515"/>
      <c r="S267" s="551"/>
      <c r="T267" s="515"/>
      <c r="U267" s="515"/>
      <c r="V267" s="515"/>
      <c r="W267" s="515"/>
      <c r="X267" s="515">
        <f t="shared" si="110"/>
        <v>0.5498999999999999</v>
      </c>
      <c r="Y267" s="2">
        <f t="shared" si="111"/>
        <v>114394452</v>
      </c>
      <c r="Z267" s="18"/>
      <c r="AA267" s="17"/>
      <c r="AB267" s="17"/>
      <c r="AC267" s="17"/>
      <c r="AD267" s="17"/>
    </row>
    <row r="268" spans="1:30" ht="15">
      <c r="A268" s="4">
        <v>4</v>
      </c>
      <c r="B268" s="646" t="s">
        <v>156</v>
      </c>
      <c r="C268" s="515"/>
      <c r="D268" s="515"/>
      <c r="E268" s="515">
        <f t="shared" si="107"/>
        <v>6.3979</v>
      </c>
      <c r="F268" s="551">
        <v>2.34</v>
      </c>
      <c r="G268" s="515">
        <f t="shared" si="108"/>
        <v>3.508</v>
      </c>
      <c r="H268" s="515">
        <v>0.7</v>
      </c>
      <c r="I268" s="515"/>
      <c r="J268" s="515"/>
      <c r="K268" s="515">
        <f t="shared" si="98"/>
        <v>1.17</v>
      </c>
      <c r="L268" s="515">
        <f t="shared" si="109"/>
        <v>1.638</v>
      </c>
      <c r="M268" s="515"/>
      <c r="N268" s="515"/>
      <c r="O268" s="515"/>
      <c r="P268" s="515"/>
      <c r="Q268" s="515"/>
      <c r="R268" s="515"/>
      <c r="S268" s="551"/>
      <c r="T268" s="515"/>
      <c r="U268" s="515"/>
      <c r="V268" s="515"/>
      <c r="W268" s="515"/>
      <c r="X268" s="515">
        <f t="shared" si="110"/>
        <v>0.5498999999999999</v>
      </c>
      <c r="Y268" s="2">
        <f t="shared" si="111"/>
        <v>114394452</v>
      </c>
      <c r="Z268" s="18"/>
      <c r="AA268" s="17"/>
      <c r="AB268" s="17"/>
      <c r="AC268" s="17"/>
      <c r="AD268" s="17"/>
    </row>
    <row r="269" spans="1:30" ht="15">
      <c r="A269" s="4">
        <v>5</v>
      </c>
      <c r="B269" s="646" t="s">
        <v>155</v>
      </c>
      <c r="C269" s="515"/>
      <c r="D269" s="515"/>
      <c r="E269" s="515">
        <f t="shared" si="107"/>
        <v>6.3979</v>
      </c>
      <c r="F269" s="551">
        <v>2.34</v>
      </c>
      <c r="G269" s="515">
        <f t="shared" si="108"/>
        <v>3.508</v>
      </c>
      <c r="H269" s="515">
        <v>0.7</v>
      </c>
      <c r="I269" s="515"/>
      <c r="J269" s="515"/>
      <c r="K269" s="515">
        <f>(F269+I269+J269)*0.5</f>
        <v>1.17</v>
      </c>
      <c r="L269" s="515">
        <f t="shared" si="109"/>
        <v>1.638</v>
      </c>
      <c r="M269" s="515"/>
      <c r="N269" s="515"/>
      <c r="O269" s="515"/>
      <c r="P269" s="515"/>
      <c r="Q269" s="515"/>
      <c r="R269" s="515"/>
      <c r="S269" s="551"/>
      <c r="T269" s="515"/>
      <c r="U269" s="515"/>
      <c r="V269" s="515"/>
      <c r="W269" s="515"/>
      <c r="X269" s="515">
        <f t="shared" si="110"/>
        <v>0.5498999999999999</v>
      </c>
      <c r="Y269" s="2">
        <f t="shared" si="111"/>
        <v>114394452</v>
      </c>
      <c r="Z269" s="18"/>
      <c r="AA269" s="17"/>
      <c r="AB269" s="17"/>
      <c r="AC269" s="17"/>
      <c r="AD269" s="17"/>
    </row>
    <row r="270" spans="1:30" ht="15">
      <c r="A270" s="4">
        <v>6</v>
      </c>
      <c r="B270" s="646" t="s">
        <v>546</v>
      </c>
      <c r="C270" s="515"/>
      <c r="D270" s="515"/>
      <c r="E270" s="515">
        <f t="shared" si="107"/>
        <v>12.7958</v>
      </c>
      <c r="F270" s="551">
        <f>2*2.34</f>
        <v>4.68</v>
      </c>
      <c r="G270" s="515">
        <f t="shared" si="108"/>
        <v>7.016</v>
      </c>
      <c r="H270" s="515">
        <f>0.7*2</f>
        <v>1.4</v>
      </c>
      <c r="I270" s="515"/>
      <c r="J270" s="515"/>
      <c r="K270" s="515">
        <f>(F270+I270+J270)*0.5</f>
        <v>2.34</v>
      </c>
      <c r="L270" s="515">
        <f t="shared" si="109"/>
        <v>3.276</v>
      </c>
      <c r="M270" s="515"/>
      <c r="N270" s="515"/>
      <c r="O270" s="515"/>
      <c r="P270" s="515"/>
      <c r="Q270" s="515"/>
      <c r="R270" s="515"/>
      <c r="S270" s="551"/>
      <c r="T270" s="515"/>
      <c r="U270" s="515"/>
      <c r="V270" s="515"/>
      <c r="W270" s="515"/>
      <c r="X270" s="515">
        <f t="shared" si="110"/>
        <v>1.0997999999999999</v>
      </c>
      <c r="Y270" s="2">
        <f t="shared" si="111"/>
        <v>228788904</v>
      </c>
      <c r="Z270" s="18"/>
      <c r="AA270" s="17"/>
      <c r="AB270" s="17"/>
      <c r="AC270" s="17"/>
      <c r="AD270" s="17"/>
    </row>
    <row r="271" spans="1:30" ht="25.5">
      <c r="A271" s="504">
        <v>9</v>
      </c>
      <c r="B271" s="10" t="s">
        <v>154</v>
      </c>
      <c r="C271" s="501">
        <f aca="true" t="shared" si="112" ref="C271:Y271">C272+C325</f>
        <v>89</v>
      </c>
      <c r="D271" s="501">
        <f t="shared" si="112"/>
        <v>65</v>
      </c>
      <c r="E271" s="501">
        <f t="shared" si="112"/>
        <v>894.3444000000002</v>
      </c>
      <c r="F271" s="501">
        <f t="shared" si="112"/>
        <v>284.82000000000005</v>
      </c>
      <c r="G271" s="501">
        <f t="shared" si="112"/>
        <v>541.4395</v>
      </c>
      <c r="H271" s="501">
        <f t="shared" si="112"/>
        <v>59.499999999999986</v>
      </c>
      <c r="I271" s="501">
        <f t="shared" si="112"/>
        <v>16.75</v>
      </c>
      <c r="J271" s="501">
        <f t="shared" si="112"/>
        <v>0</v>
      </c>
      <c r="K271" s="501">
        <f t="shared" si="112"/>
        <v>150.78500000000003</v>
      </c>
      <c r="L271" s="501">
        <f t="shared" si="112"/>
        <v>173.523</v>
      </c>
      <c r="M271" s="501">
        <f t="shared" si="112"/>
        <v>0.8029999999999999</v>
      </c>
      <c r="N271" s="501">
        <f t="shared" si="112"/>
        <v>0</v>
      </c>
      <c r="O271" s="501">
        <f t="shared" si="112"/>
        <v>75.39250000000001</v>
      </c>
      <c r="P271" s="501">
        <f t="shared" si="112"/>
        <v>0</v>
      </c>
      <c r="Q271" s="501">
        <f t="shared" si="112"/>
        <v>8.9</v>
      </c>
      <c r="R271" s="501">
        <f t="shared" si="112"/>
        <v>0</v>
      </c>
      <c r="S271" s="501">
        <f t="shared" si="112"/>
        <v>0</v>
      </c>
      <c r="T271" s="501">
        <f t="shared" si="112"/>
        <v>47.78099999999999</v>
      </c>
      <c r="U271" s="501">
        <f t="shared" si="112"/>
        <v>1.0350000000000001</v>
      </c>
      <c r="V271" s="501">
        <f t="shared" si="112"/>
        <v>0</v>
      </c>
      <c r="W271" s="501">
        <f t="shared" si="112"/>
        <v>5.1</v>
      </c>
      <c r="X271" s="501">
        <f t="shared" si="112"/>
        <v>68.0849</v>
      </c>
      <c r="Y271" s="501">
        <f t="shared" si="112"/>
        <v>16359640212</v>
      </c>
      <c r="Z271" s="503"/>
      <c r="AA271" s="17">
        <f>+Y271+Y382+Y415</f>
        <v>16781608212</v>
      </c>
      <c r="AB271" s="17"/>
      <c r="AC271" s="17"/>
      <c r="AD271" s="17"/>
    </row>
    <row r="272" spans="1:30" ht="15">
      <c r="A272" s="504" t="s">
        <v>153</v>
      </c>
      <c r="B272" s="10" t="s">
        <v>152</v>
      </c>
      <c r="C272" s="502">
        <f>+C273+C284+C292+C299+C311+C316+C322</f>
        <v>41</v>
      </c>
      <c r="D272" s="502">
        <f>+D273+D284+D292+D299+D311+D316+D322</f>
        <v>26</v>
      </c>
      <c r="E272" s="502">
        <f aca="true" t="shared" si="113" ref="E272:Y272">E273+E284+E289+E292+E299+E306+E311+E316+E322+0</f>
        <v>393.9815000000001</v>
      </c>
      <c r="F272" s="502">
        <f t="shared" si="113"/>
        <v>133.50000000000003</v>
      </c>
      <c r="G272" s="502">
        <f t="shared" si="113"/>
        <v>228.464</v>
      </c>
      <c r="H272" s="502">
        <f t="shared" si="113"/>
        <v>28.699999999999996</v>
      </c>
      <c r="I272" s="502">
        <f t="shared" si="113"/>
        <v>8.8</v>
      </c>
      <c r="J272" s="502">
        <f t="shared" si="113"/>
        <v>0</v>
      </c>
      <c r="K272" s="502">
        <f t="shared" si="113"/>
        <v>71.15</v>
      </c>
      <c r="L272" s="502">
        <f t="shared" si="113"/>
        <v>77.85400000000001</v>
      </c>
      <c r="M272" s="502">
        <f t="shared" si="113"/>
        <v>0</v>
      </c>
      <c r="N272" s="502">
        <f t="shared" si="113"/>
        <v>0</v>
      </c>
      <c r="O272" s="502">
        <f t="shared" si="113"/>
        <v>35.575</v>
      </c>
      <c r="P272" s="502">
        <f t="shared" si="113"/>
        <v>0</v>
      </c>
      <c r="Q272" s="502">
        <f t="shared" si="113"/>
        <v>5</v>
      </c>
      <c r="R272" s="502">
        <f t="shared" si="113"/>
        <v>0</v>
      </c>
      <c r="S272" s="502">
        <f t="shared" si="113"/>
        <v>0</v>
      </c>
      <c r="T272" s="502">
        <f t="shared" si="113"/>
        <v>0</v>
      </c>
      <c r="U272" s="502">
        <f t="shared" si="113"/>
        <v>0.7850000000000001</v>
      </c>
      <c r="V272" s="502">
        <f t="shared" si="113"/>
        <v>0</v>
      </c>
      <c r="W272" s="502">
        <f t="shared" si="113"/>
        <v>0.6</v>
      </c>
      <c r="X272" s="502">
        <f t="shared" si="113"/>
        <v>32.017500000000005</v>
      </c>
      <c r="Y272" s="502">
        <f t="shared" si="113"/>
        <v>7413151140</v>
      </c>
      <c r="Z272" s="503"/>
      <c r="AA272" s="17">
        <f>+'[2]chi tietxã 05'!D13*1000</f>
        <v>9061501000</v>
      </c>
      <c r="AB272" s="17"/>
      <c r="AC272" s="17"/>
      <c r="AD272" s="17"/>
    </row>
    <row r="273" spans="1:30" ht="15">
      <c r="A273" s="14" t="s">
        <v>151</v>
      </c>
      <c r="B273" s="596" t="s">
        <v>150</v>
      </c>
      <c r="C273" s="552">
        <v>6</v>
      </c>
      <c r="D273" s="552">
        <v>5</v>
      </c>
      <c r="E273" s="552">
        <f>SUM(E274:E280)</f>
        <v>68.60275</v>
      </c>
      <c r="F273" s="552">
        <f aca="true" t="shared" si="114" ref="F273:X273">SUM(F274:F280)</f>
        <v>22.39</v>
      </c>
      <c r="G273" s="552">
        <f t="shared" si="114"/>
        <v>40.5675</v>
      </c>
      <c r="H273" s="552">
        <f t="shared" si="114"/>
        <v>4.2</v>
      </c>
      <c r="I273" s="552">
        <f t="shared" si="114"/>
        <v>2.7</v>
      </c>
      <c r="J273" s="552">
        <f t="shared" si="114"/>
        <v>0</v>
      </c>
      <c r="K273" s="552">
        <f t="shared" si="114"/>
        <v>12.545000000000002</v>
      </c>
      <c r="L273" s="552">
        <f t="shared" si="114"/>
        <v>14.35</v>
      </c>
      <c r="M273" s="552">
        <f t="shared" si="114"/>
        <v>0</v>
      </c>
      <c r="N273" s="552">
        <f t="shared" si="114"/>
        <v>0</v>
      </c>
      <c r="O273" s="552">
        <f t="shared" si="114"/>
        <v>6.272500000000001</v>
      </c>
      <c r="P273" s="552">
        <f t="shared" si="114"/>
        <v>0</v>
      </c>
      <c r="Q273" s="552">
        <f t="shared" si="114"/>
        <v>0.5</v>
      </c>
      <c r="R273" s="552">
        <f t="shared" si="114"/>
        <v>0</v>
      </c>
      <c r="S273" s="552">
        <f t="shared" si="114"/>
        <v>0</v>
      </c>
      <c r="T273" s="552">
        <f t="shared" si="114"/>
        <v>0</v>
      </c>
      <c r="U273" s="552">
        <f t="shared" si="114"/>
        <v>0</v>
      </c>
      <c r="V273" s="552">
        <f t="shared" si="114"/>
        <v>0</v>
      </c>
      <c r="W273" s="552">
        <f t="shared" si="114"/>
        <v>0</v>
      </c>
      <c r="X273" s="552">
        <f t="shared" si="114"/>
        <v>5.645249999999999</v>
      </c>
      <c r="Y273" s="563">
        <f>ROUNDUP(SUM(Y274:Y280),-3)</f>
        <v>1595377000</v>
      </c>
      <c r="Z273" s="563"/>
      <c r="AA273" s="17">
        <f>+AA271+AA272+'[2]chi tietxã 05'!D14*1000</f>
        <v>31552828212</v>
      </c>
      <c r="AB273" s="13"/>
      <c r="AC273" s="13"/>
      <c r="AD273" s="13"/>
    </row>
    <row r="274" spans="1:30" ht="15">
      <c r="A274" s="4">
        <v>1</v>
      </c>
      <c r="B274" s="646" t="s">
        <v>43</v>
      </c>
      <c r="C274" s="515"/>
      <c r="D274" s="515"/>
      <c r="E274" s="515">
        <f aca="true" t="shared" si="115" ref="E274:E279">F274+G274+X274</f>
        <v>16.1615</v>
      </c>
      <c r="F274" s="551">
        <v>5.08</v>
      </c>
      <c r="G274" s="515">
        <f aca="true" t="shared" si="116" ref="G274:G279">H274+I274+J274+K274+L274+M274+N274+O274+P274+Q274+R274+S274+T274+U274+W274</f>
        <v>9.781</v>
      </c>
      <c r="H274" s="515">
        <v>0.7</v>
      </c>
      <c r="I274" s="515">
        <v>0.7</v>
      </c>
      <c r="J274" s="515"/>
      <c r="K274" s="515">
        <f aca="true" t="shared" si="117" ref="K274:K279">(F274+I274)*50%</f>
        <v>2.89</v>
      </c>
      <c r="L274" s="515">
        <f>0.7*(F274+I274)</f>
        <v>4.046</v>
      </c>
      <c r="M274" s="515"/>
      <c r="N274" s="515"/>
      <c r="O274" s="592">
        <f aca="true" t="shared" si="118" ref="O274:O279">(F274+I274)*25%</f>
        <v>1.445</v>
      </c>
      <c r="P274" s="515"/>
      <c r="Q274" s="515"/>
      <c r="R274" s="515"/>
      <c r="S274" s="551"/>
      <c r="T274" s="515"/>
      <c r="U274" s="515"/>
      <c r="V274" s="515"/>
      <c r="W274" s="515"/>
      <c r="X274" s="515">
        <f aca="true" t="shared" si="119" ref="X274:X279">(F274+I274)*22.5%</f>
        <v>1.3005</v>
      </c>
      <c r="Y274" s="2">
        <f aca="true" t="shared" si="120" ref="Y274:Y279">E274*1490000*12</f>
        <v>288967620</v>
      </c>
      <c r="Z274" s="2"/>
      <c r="AA274" s="1">
        <f>(4.32+I275)*0.7</f>
        <v>3.444</v>
      </c>
      <c r="AB274" s="1"/>
      <c r="AC274" s="1"/>
      <c r="AD274" s="1"/>
    </row>
    <row r="275" spans="1:30" ht="15">
      <c r="A275" s="4">
        <v>2</v>
      </c>
      <c r="B275" s="646" t="s">
        <v>149</v>
      </c>
      <c r="C275" s="515"/>
      <c r="D275" s="515"/>
      <c r="E275" s="515">
        <f t="shared" si="115"/>
        <v>12.97825</v>
      </c>
      <c r="F275" s="551">
        <v>3.99</v>
      </c>
      <c r="G275" s="515">
        <f t="shared" si="116"/>
        <v>7.9555</v>
      </c>
      <c r="H275" s="515">
        <v>0.7</v>
      </c>
      <c r="I275" s="515">
        <v>0.6</v>
      </c>
      <c r="J275" s="515"/>
      <c r="K275" s="515">
        <f t="shared" si="117"/>
        <v>2.295</v>
      </c>
      <c r="L275" s="515">
        <f>0.7*(F275+I275)</f>
        <v>3.2129999999999996</v>
      </c>
      <c r="M275" s="515"/>
      <c r="N275" s="515"/>
      <c r="O275" s="592">
        <f t="shared" si="118"/>
        <v>1.1475</v>
      </c>
      <c r="P275" s="515"/>
      <c r="Q275" s="515"/>
      <c r="R275" s="515"/>
      <c r="S275" s="551"/>
      <c r="T275" s="515"/>
      <c r="U275" s="515"/>
      <c r="V275" s="515"/>
      <c r="W275" s="515"/>
      <c r="X275" s="515">
        <f t="shared" si="119"/>
        <v>1.03275</v>
      </c>
      <c r="Y275" s="2">
        <f t="shared" si="120"/>
        <v>232051110</v>
      </c>
      <c r="Z275" s="2"/>
      <c r="AA275" s="674">
        <f>AA274*1490000*12</f>
        <v>61578720</v>
      </c>
      <c r="AB275" s="1"/>
      <c r="AC275" s="1"/>
      <c r="AD275" s="1"/>
    </row>
    <row r="276" spans="1:30" ht="15">
      <c r="A276" s="4">
        <v>3</v>
      </c>
      <c r="B276" s="646" t="s">
        <v>34</v>
      </c>
      <c r="C276" s="515"/>
      <c r="D276" s="515"/>
      <c r="E276" s="515">
        <f t="shared" si="115"/>
        <v>13.860999999999999</v>
      </c>
      <c r="F276" s="551">
        <v>4.32</v>
      </c>
      <c r="G276" s="515">
        <f>H276+I276+J276+K276+L276+M276+N276+O276+P276+Q276+R276+S276+T276+U276+W276</f>
        <v>8.434</v>
      </c>
      <c r="H276" s="515">
        <v>0.7</v>
      </c>
      <c r="I276" s="515">
        <v>0.6</v>
      </c>
      <c r="J276" s="515"/>
      <c r="K276" s="515">
        <f t="shared" si="117"/>
        <v>2.46</v>
      </c>
      <c r="L276" s="515">
        <f>0.7*(F276+I276)</f>
        <v>3.444</v>
      </c>
      <c r="M276" s="515"/>
      <c r="N276" s="515"/>
      <c r="O276" s="592">
        <f t="shared" si="118"/>
        <v>1.23</v>
      </c>
      <c r="P276" s="515"/>
      <c r="Q276" s="515"/>
      <c r="R276" s="515"/>
      <c r="S276" s="551"/>
      <c r="T276" s="515"/>
      <c r="U276" s="515"/>
      <c r="V276" s="515"/>
      <c r="W276" s="515"/>
      <c r="X276" s="515">
        <f t="shared" si="119"/>
        <v>1.107</v>
      </c>
      <c r="Y276" s="2">
        <f t="shared" si="120"/>
        <v>247834680</v>
      </c>
      <c r="Z276" s="2"/>
      <c r="AA276" s="676">
        <f>0.5*1490000*12</f>
        <v>8940000</v>
      </c>
      <c r="AB276" s="675">
        <f>AA275-AA276</f>
        <v>52638720</v>
      </c>
      <c r="AC276" s="1"/>
      <c r="AD276" s="1"/>
    </row>
    <row r="277" spans="1:30" ht="15">
      <c r="A277" s="4">
        <v>4</v>
      </c>
      <c r="B277" s="646" t="s">
        <v>35</v>
      </c>
      <c r="C277" s="515"/>
      <c r="D277" s="515"/>
      <c r="E277" s="515">
        <f>F277+G277+X277</f>
        <v>10.26525</v>
      </c>
      <c r="F277" s="551">
        <v>3.99</v>
      </c>
      <c r="G277" s="515">
        <f>H277+I277+J277+K277+L277+M277+N277+O277+P277+Q277+R277+S277+T277+U277+W277</f>
        <v>5.2425</v>
      </c>
      <c r="H277" s="515">
        <v>0.7</v>
      </c>
      <c r="I277" s="515">
        <v>0.6</v>
      </c>
      <c r="J277" s="515"/>
      <c r="K277" s="515">
        <f>(F277+I277)*50%</f>
        <v>2.295</v>
      </c>
      <c r="L277" s="515"/>
      <c r="M277" s="515"/>
      <c r="N277" s="515"/>
      <c r="O277" s="592">
        <f>(F277+I277)*25%</f>
        <v>1.1475</v>
      </c>
      <c r="P277" s="515"/>
      <c r="Q277" s="515">
        <v>0.5</v>
      </c>
      <c r="R277" s="515"/>
      <c r="S277" s="551"/>
      <c r="T277" s="515"/>
      <c r="U277" s="515"/>
      <c r="V277" s="515"/>
      <c r="W277" s="515"/>
      <c r="X277" s="515">
        <f>(F277+I277)*22.5%</f>
        <v>1.03275</v>
      </c>
      <c r="Y277" s="2">
        <f>E277*1490000*12</f>
        <v>183542670</v>
      </c>
      <c r="Z277" s="2"/>
      <c r="AA277" s="674">
        <f>AA275-AA276</f>
        <v>52638720</v>
      </c>
      <c r="AB277" s="1"/>
      <c r="AC277" s="1"/>
      <c r="AD277" s="1"/>
    </row>
    <row r="278" spans="1:30" ht="15">
      <c r="A278" s="4">
        <v>5</v>
      </c>
      <c r="B278" s="646" t="s">
        <v>547</v>
      </c>
      <c r="C278" s="515"/>
      <c r="D278" s="515"/>
      <c r="E278" s="515">
        <f t="shared" si="115"/>
        <v>6.9595</v>
      </c>
      <c r="F278" s="551">
        <v>2.34</v>
      </c>
      <c r="G278" s="515">
        <f t="shared" si="116"/>
        <v>4.093</v>
      </c>
      <c r="H278" s="515">
        <v>0.7</v>
      </c>
      <c r="I278" s="515"/>
      <c r="J278" s="515"/>
      <c r="K278" s="515">
        <f>(F278+I278)*50%</f>
        <v>1.17</v>
      </c>
      <c r="L278" s="515">
        <f>0.7*F278</f>
        <v>1.638</v>
      </c>
      <c r="M278" s="515"/>
      <c r="N278" s="515"/>
      <c r="O278" s="592">
        <f>(F278+I278)*25%</f>
        <v>0.585</v>
      </c>
      <c r="P278" s="515"/>
      <c r="Q278" s="515"/>
      <c r="R278" s="515"/>
      <c r="S278" s="551"/>
      <c r="T278" s="515"/>
      <c r="U278" s="515"/>
      <c r="V278" s="515"/>
      <c r="W278" s="515"/>
      <c r="X278" s="515">
        <f t="shared" si="119"/>
        <v>0.5265</v>
      </c>
      <c r="Y278" s="2">
        <f t="shared" si="120"/>
        <v>124435860</v>
      </c>
      <c r="Z278" s="2"/>
      <c r="AA278" s="1">
        <f>+'[2]chi tietxã 05'!D13+'[2]chi tietxã 05'!D15+'[2]chi tietxã 05'!D18+'[2]chi tietxã 05'!D17</f>
        <v>12020675</v>
      </c>
      <c r="AB278" s="1"/>
      <c r="AC278" s="1"/>
      <c r="AD278" s="1"/>
    </row>
    <row r="279" spans="1:30" ht="15">
      <c r="A279" s="4">
        <v>6</v>
      </c>
      <c r="B279" s="646" t="s">
        <v>548</v>
      </c>
      <c r="C279" s="515"/>
      <c r="D279" s="515"/>
      <c r="E279" s="515">
        <f t="shared" si="115"/>
        <v>8.37725</v>
      </c>
      <c r="F279" s="551">
        <v>2.67</v>
      </c>
      <c r="G279" s="515">
        <f t="shared" si="116"/>
        <v>5.0615</v>
      </c>
      <c r="H279" s="515">
        <v>0.7</v>
      </c>
      <c r="I279" s="515">
        <v>0.2</v>
      </c>
      <c r="J279" s="515"/>
      <c r="K279" s="515">
        <f t="shared" si="117"/>
        <v>1.435</v>
      </c>
      <c r="L279" s="515">
        <f>0.7*(F279+I279)</f>
        <v>2.009</v>
      </c>
      <c r="M279" s="515"/>
      <c r="N279" s="515"/>
      <c r="O279" s="592">
        <f t="shared" si="118"/>
        <v>0.7175</v>
      </c>
      <c r="P279" s="515"/>
      <c r="Q279" s="515"/>
      <c r="R279" s="515"/>
      <c r="S279" s="551"/>
      <c r="T279" s="515"/>
      <c r="U279" s="515"/>
      <c r="V279" s="515"/>
      <c r="W279" s="515"/>
      <c r="X279" s="515">
        <f t="shared" si="119"/>
        <v>0.64575</v>
      </c>
      <c r="Y279" s="2">
        <f t="shared" si="120"/>
        <v>149785230</v>
      </c>
      <c r="Z279" s="2"/>
      <c r="AA279" s="1">
        <f>+AA278*1000</f>
        <v>12020675000</v>
      </c>
      <c r="AB279" s="1"/>
      <c r="AC279" s="1"/>
      <c r="AD279" s="1"/>
    </row>
    <row r="280" spans="1:30" ht="15">
      <c r="A280" s="14"/>
      <c r="B280" s="596" t="s">
        <v>549</v>
      </c>
      <c r="C280" s="552">
        <v>3</v>
      </c>
      <c r="D280" s="552">
        <v>3</v>
      </c>
      <c r="E280" s="552"/>
      <c r="F280" s="647"/>
      <c r="G280" s="552"/>
      <c r="H280" s="552"/>
      <c r="I280" s="552"/>
      <c r="J280" s="552"/>
      <c r="K280" s="552"/>
      <c r="L280" s="552"/>
      <c r="M280" s="552"/>
      <c r="N280" s="552"/>
      <c r="O280" s="591"/>
      <c r="P280" s="552"/>
      <c r="Q280" s="552"/>
      <c r="R280" s="552"/>
      <c r="S280" s="647"/>
      <c r="T280" s="552"/>
      <c r="U280" s="552"/>
      <c r="V280" s="552"/>
      <c r="W280" s="552"/>
      <c r="X280" s="552"/>
      <c r="Y280" s="563">
        <f>SUM(Y281:Y283)</f>
        <v>368758944</v>
      </c>
      <c r="Z280" s="563"/>
      <c r="AA280" s="494">
        <f>+AA277+AA279</f>
        <v>12073313720</v>
      </c>
      <c r="AB280" s="13"/>
      <c r="AC280" s="13"/>
      <c r="AD280" s="13"/>
    </row>
    <row r="281" spans="1:30" ht="15">
      <c r="A281" s="4">
        <v>1</v>
      </c>
      <c r="B281" s="646" t="s">
        <v>272</v>
      </c>
      <c r="C281" s="515"/>
      <c r="D281" s="515"/>
      <c r="E281" s="515">
        <f>F281+G281+X281</f>
        <v>0</v>
      </c>
      <c r="F281" s="551"/>
      <c r="G281" s="515"/>
      <c r="H281" s="515"/>
      <c r="I281" s="515"/>
      <c r="J281" s="515"/>
      <c r="K281" s="515"/>
      <c r="L281" s="515"/>
      <c r="M281" s="515"/>
      <c r="N281" s="515"/>
      <c r="O281" s="592"/>
      <c r="P281" s="515"/>
      <c r="Q281" s="515"/>
      <c r="R281" s="515"/>
      <c r="S281" s="551"/>
      <c r="T281" s="515"/>
      <c r="U281" s="515"/>
      <c r="V281" s="515"/>
      <c r="W281" s="515"/>
      <c r="X281" s="515"/>
      <c r="Y281" s="2">
        <f>+(9625890+2262084)*12</f>
        <v>142655688</v>
      </c>
      <c r="Z281" s="2"/>
      <c r="AA281" s="1"/>
      <c r="AB281" s="1"/>
      <c r="AC281" s="1"/>
      <c r="AD281" s="1"/>
    </row>
    <row r="282" spans="1:30" ht="15">
      <c r="A282" s="4">
        <v>2</v>
      </c>
      <c r="B282" s="646" t="s">
        <v>273</v>
      </c>
      <c r="C282" s="515"/>
      <c r="D282" s="515"/>
      <c r="E282" s="515">
        <f>F282+G282+X282</f>
        <v>0</v>
      </c>
      <c r="F282" s="551"/>
      <c r="G282" s="515"/>
      <c r="H282" s="515"/>
      <c r="I282" s="515"/>
      <c r="J282" s="515"/>
      <c r="K282" s="515"/>
      <c r="L282" s="515"/>
      <c r="M282" s="515"/>
      <c r="N282" s="515"/>
      <c r="O282" s="592"/>
      <c r="P282" s="515"/>
      <c r="Q282" s="515"/>
      <c r="R282" s="515"/>
      <c r="S282" s="551"/>
      <c r="T282" s="515"/>
      <c r="U282" s="515"/>
      <c r="V282" s="515"/>
      <c r="W282" s="515"/>
      <c r="X282" s="515"/>
      <c r="Y282" s="2">
        <v>142655688</v>
      </c>
      <c r="Z282" s="2"/>
      <c r="AA282" s="1"/>
      <c r="AB282" s="1"/>
      <c r="AC282" s="1"/>
      <c r="AD282" s="1"/>
    </row>
    <row r="283" spans="1:30" ht="15">
      <c r="A283" s="4">
        <v>3</v>
      </c>
      <c r="B283" s="646" t="s">
        <v>274</v>
      </c>
      <c r="C283" s="515"/>
      <c r="D283" s="515"/>
      <c r="E283" s="515">
        <f>F283+G283+X283</f>
        <v>0</v>
      </c>
      <c r="F283" s="551"/>
      <c r="G283" s="515"/>
      <c r="H283" s="515"/>
      <c r="I283" s="515"/>
      <c r="J283" s="515"/>
      <c r="K283" s="515"/>
      <c r="L283" s="515"/>
      <c r="M283" s="515"/>
      <c r="N283" s="515"/>
      <c r="O283" s="592"/>
      <c r="P283" s="515"/>
      <c r="Q283" s="515"/>
      <c r="R283" s="515"/>
      <c r="S283" s="551"/>
      <c r="T283" s="515"/>
      <c r="U283" s="515"/>
      <c r="V283" s="515"/>
      <c r="W283" s="515"/>
      <c r="X283" s="515"/>
      <c r="Y283" s="2">
        <f>+(5630740+1323224)*12</f>
        <v>83447568</v>
      </c>
      <c r="Z283" s="2"/>
      <c r="AA283" s="1"/>
      <c r="AB283" s="1"/>
      <c r="AC283" s="1"/>
      <c r="AD283" s="1"/>
    </row>
    <row r="284" spans="1:30" ht="15">
      <c r="A284" s="14" t="s">
        <v>148</v>
      </c>
      <c r="B284" s="597" t="s">
        <v>147</v>
      </c>
      <c r="C284" s="552">
        <v>7</v>
      </c>
      <c r="D284" s="552">
        <v>3</v>
      </c>
      <c r="E284" s="552">
        <f aca="true" t="shared" si="121" ref="E284:X284">SUM(E285:E288)</f>
        <v>65.89575</v>
      </c>
      <c r="F284" s="552">
        <f t="shared" si="121"/>
        <v>21.990000000000002</v>
      </c>
      <c r="G284" s="552">
        <f t="shared" si="121"/>
        <v>38.8005</v>
      </c>
      <c r="H284" s="552">
        <f t="shared" si="121"/>
        <v>4.8999999999999995</v>
      </c>
      <c r="I284" s="552">
        <f t="shared" si="121"/>
        <v>0.7</v>
      </c>
      <c r="J284" s="552">
        <f t="shared" si="121"/>
        <v>0</v>
      </c>
      <c r="K284" s="552">
        <f t="shared" si="121"/>
        <v>11.345</v>
      </c>
      <c r="L284" s="552">
        <f t="shared" si="121"/>
        <v>15.883</v>
      </c>
      <c r="M284" s="552">
        <f t="shared" si="121"/>
        <v>0</v>
      </c>
      <c r="N284" s="552">
        <f t="shared" si="121"/>
        <v>0</v>
      </c>
      <c r="O284" s="552">
        <f t="shared" si="121"/>
        <v>5.6725</v>
      </c>
      <c r="P284" s="552">
        <f t="shared" si="121"/>
        <v>0</v>
      </c>
      <c r="Q284" s="552">
        <f t="shared" si="121"/>
        <v>0</v>
      </c>
      <c r="R284" s="552">
        <f t="shared" si="121"/>
        <v>0</v>
      </c>
      <c r="S284" s="552">
        <f t="shared" si="121"/>
        <v>0</v>
      </c>
      <c r="T284" s="552">
        <f t="shared" si="121"/>
        <v>0</v>
      </c>
      <c r="U284" s="552">
        <f t="shared" si="121"/>
        <v>0</v>
      </c>
      <c r="V284" s="552">
        <f t="shared" si="121"/>
        <v>0</v>
      </c>
      <c r="W284" s="552">
        <f t="shared" si="121"/>
        <v>0.3</v>
      </c>
      <c r="X284" s="552">
        <f t="shared" si="121"/>
        <v>5.10525</v>
      </c>
      <c r="Y284" s="563">
        <f>ROUNDUP(SUM(Y285:Y288),-3)</f>
        <v>1178217000</v>
      </c>
      <c r="Z284" s="563"/>
      <c r="AA284" s="13"/>
      <c r="AB284" s="13"/>
      <c r="AC284" s="13"/>
      <c r="AD284" s="13"/>
    </row>
    <row r="285" spans="1:30" ht="15">
      <c r="A285" s="4">
        <v>1</v>
      </c>
      <c r="B285" s="648" t="s">
        <v>23</v>
      </c>
      <c r="C285" s="515"/>
      <c r="D285" s="515"/>
      <c r="E285" s="515">
        <f>F285+G285+X285</f>
        <v>13.058500000000002</v>
      </c>
      <c r="F285" s="551">
        <v>4.32</v>
      </c>
      <c r="G285" s="515">
        <f>SUM(H285:W285)</f>
        <v>7.699000000000001</v>
      </c>
      <c r="H285" s="515">
        <v>0.7</v>
      </c>
      <c r="I285" s="515">
        <v>0.3</v>
      </c>
      <c r="J285" s="515"/>
      <c r="K285" s="515">
        <f>(F285+I285)*50%</f>
        <v>2.31</v>
      </c>
      <c r="L285" s="515">
        <f>0.7*(F285+I285)</f>
        <v>3.234</v>
      </c>
      <c r="M285" s="515"/>
      <c r="N285" s="515"/>
      <c r="O285" s="515">
        <f>(F285+I285)*25%</f>
        <v>1.155</v>
      </c>
      <c r="P285" s="515"/>
      <c r="Q285" s="515"/>
      <c r="R285" s="515"/>
      <c r="S285" s="551"/>
      <c r="T285" s="515"/>
      <c r="U285" s="515"/>
      <c r="V285" s="515"/>
      <c r="W285" s="515"/>
      <c r="X285" s="515">
        <f>(F285+I285)*22.5%</f>
        <v>1.0395</v>
      </c>
      <c r="Y285" s="2">
        <f>E285*1490000*12</f>
        <v>233485980.00000006</v>
      </c>
      <c r="Z285" s="2"/>
      <c r="AA285" s="1"/>
      <c r="AB285" s="1"/>
      <c r="AC285" s="1"/>
      <c r="AD285" s="1"/>
    </row>
    <row r="286" spans="1:30" ht="15">
      <c r="A286" s="4">
        <v>2</v>
      </c>
      <c r="B286" s="648" t="s">
        <v>146</v>
      </c>
      <c r="C286" s="515"/>
      <c r="D286" s="515"/>
      <c r="E286" s="515">
        <f>F286+G286+X286</f>
        <v>11.908250000000002</v>
      </c>
      <c r="F286" s="551">
        <v>3.99</v>
      </c>
      <c r="G286" s="515">
        <f>SUM(H286:W286)</f>
        <v>6.975500000000001</v>
      </c>
      <c r="H286" s="515">
        <v>0.7</v>
      </c>
      <c r="I286" s="515">
        <v>0.2</v>
      </c>
      <c r="J286" s="515"/>
      <c r="K286" s="515">
        <f>(F286+I286)*50%</f>
        <v>2.095</v>
      </c>
      <c r="L286" s="515">
        <f>0.7*(F286+I286)</f>
        <v>2.9330000000000003</v>
      </c>
      <c r="M286" s="515"/>
      <c r="N286" s="515"/>
      <c r="O286" s="515">
        <f>(F286+I286)*25%</f>
        <v>1.0475</v>
      </c>
      <c r="P286" s="515"/>
      <c r="Q286" s="515"/>
      <c r="R286" s="515"/>
      <c r="S286" s="551"/>
      <c r="T286" s="515"/>
      <c r="U286" s="515"/>
      <c r="V286" s="515"/>
      <c r="W286" s="515"/>
      <c r="X286" s="515">
        <f>(F286+I286)*22.5%</f>
        <v>0.9427500000000001</v>
      </c>
      <c r="Y286" s="2">
        <f>E286*1490000*12</f>
        <v>212919510.00000006</v>
      </c>
      <c r="Z286" s="2"/>
      <c r="AA286" s="1"/>
      <c r="AB286" s="1"/>
      <c r="AC286" s="1"/>
      <c r="AD286" s="1"/>
    </row>
    <row r="287" spans="1:30" ht="15">
      <c r="A287" s="4">
        <v>3</v>
      </c>
      <c r="B287" s="648" t="s">
        <v>145</v>
      </c>
      <c r="C287" s="515"/>
      <c r="D287" s="515"/>
      <c r="E287" s="515">
        <f>F287+G287+X287</f>
        <v>13.091</v>
      </c>
      <c r="F287" s="551">
        <v>4.32</v>
      </c>
      <c r="G287" s="515">
        <f>SUM(H287:W287)</f>
        <v>7.754</v>
      </c>
      <c r="H287" s="515">
        <v>0.7</v>
      </c>
      <c r="I287" s="515">
        <v>0.2</v>
      </c>
      <c r="J287" s="515"/>
      <c r="K287" s="515">
        <f>(F287+I287)*50%</f>
        <v>2.2600000000000002</v>
      </c>
      <c r="L287" s="515">
        <f>0.7*(F287+I287)</f>
        <v>3.164</v>
      </c>
      <c r="M287" s="515"/>
      <c r="N287" s="515"/>
      <c r="O287" s="515">
        <f>(F287+I287)*25%</f>
        <v>1.1300000000000001</v>
      </c>
      <c r="P287" s="515"/>
      <c r="Q287" s="515"/>
      <c r="R287" s="515"/>
      <c r="S287" s="551"/>
      <c r="T287" s="515"/>
      <c r="U287" s="515"/>
      <c r="V287" s="515"/>
      <c r="W287" s="515">
        <v>0.3</v>
      </c>
      <c r="X287" s="515">
        <f>(F287+I287)*22.5%</f>
        <v>1.0170000000000001</v>
      </c>
      <c r="Y287" s="2">
        <f>E287*1490000*12</f>
        <v>234067080</v>
      </c>
      <c r="Z287" s="2"/>
      <c r="AA287" s="1"/>
      <c r="AB287" s="1"/>
      <c r="AC287" s="1"/>
      <c r="AD287" s="1"/>
    </row>
    <row r="288" spans="1:30" ht="15">
      <c r="A288" s="4">
        <v>4</v>
      </c>
      <c r="B288" s="648" t="s">
        <v>550</v>
      </c>
      <c r="C288" s="515"/>
      <c r="D288" s="515"/>
      <c r="E288" s="515">
        <f>F288+G288+X288</f>
        <v>27.838</v>
      </c>
      <c r="F288" s="551">
        <f>4*2.34</f>
        <v>9.36</v>
      </c>
      <c r="G288" s="515">
        <f>SUM(H288:W288)</f>
        <v>16.372</v>
      </c>
      <c r="H288" s="515">
        <f>0.7*4</f>
        <v>2.8</v>
      </c>
      <c r="I288" s="515"/>
      <c r="J288" s="515"/>
      <c r="K288" s="515">
        <f>(F288+I288)*50%</f>
        <v>4.68</v>
      </c>
      <c r="L288" s="515">
        <f>0.7*(F288+I288)</f>
        <v>6.552</v>
      </c>
      <c r="M288" s="515"/>
      <c r="N288" s="515"/>
      <c r="O288" s="515">
        <f>(F288+I288)*25%</f>
        <v>2.34</v>
      </c>
      <c r="P288" s="515"/>
      <c r="Q288" s="515"/>
      <c r="R288" s="515"/>
      <c r="S288" s="551"/>
      <c r="T288" s="515"/>
      <c r="U288" s="515"/>
      <c r="V288" s="515"/>
      <c r="W288" s="515"/>
      <c r="X288" s="515">
        <f>(F288+I288)*22.5%</f>
        <v>2.106</v>
      </c>
      <c r="Y288" s="2">
        <f>E288*1490000*12</f>
        <v>497743440</v>
      </c>
      <c r="Z288" s="2"/>
      <c r="AA288" s="1"/>
      <c r="AB288" s="1"/>
      <c r="AC288" s="1"/>
      <c r="AD288" s="1"/>
    </row>
    <row r="289" spans="1:30" ht="15">
      <c r="A289" s="14"/>
      <c r="B289" s="649"/>
      <c r="C289" s="552"/>
      <c r="D289" s="552"/>
      <c r="E289" s="552"/>
      <c r="F289" s="552"/>
      <c r="G289" s="552"/>
      <c r="H289" s="552"/>
      <c r="I289" s="552"/>
      <c r="J289" s="552"/>
      <c r="K289" s="552"/>
      <c r="L289" s="552"/>
      <c r="M289" s="552"/>
      <c r="N289" s="552"/>
      <c r="O289" s="552"/>
      <c r="P289" s="552"/>
      <c r="Q289" s="552"/>
      <c r="R289" s="552"/>
      <c r="S289" s="552"/>
      <c r="T289" s="552"/>
      <c r="U289" s="552"/>
      <c r="V289" s="552"/>
      <c r="W289" s="552"/>
      <c r="X289" s="552"/>
      <c r="Y289" s="552"/>
      <c r="Z289" s="563"/>
      <c r="AA289" s="13"/>
      <c r="AB289" s="13"/>
      <c r="AC289" s="13"/>
      <c r="AD289" s="13"/>
    </row>
    <row r="290" spans="1:30" ht="15">
      <c r="A290" s="4"/>
      <c r="B290" s="650"/>
      <c r="C290" s="515"/>
      <c r="D290" s="515"/>
      <c r="E290" s="515"/>
      <c r="F290" s="551"/>
      <c r="G290" s="515"/>
      <c r="H290" s="515"/>
      <c r="I290" s="515"/>
      <c r="J290" s="515"/>
      <c r="K290" s="515"/>
      <c r="L290" s="515"/>
      <c r="M290" s="515"/>
      <c r="N290" s="515"/>
      <c r="O290" s="651"/>
      <c r="P290" s="515"/>
      <c r="Q290" s="515"/>
      <c r="R290" s="515"/>
      <c r="S290" s="551"/>
      <c r="T290" s="515"/>
      <c r="U290" s="515"/>
      <c r="V290" s="515"/>
      <c r="W290" s="515"/>
      <c r="X290" s="515"/>
      <c r="Y290" s="2"/>
      <c r="Z290" s="2"/>
      <c r="AA290" s="1"/>
      <c r="AB290" s="1"/>
      <c r="AC290" s="1"/>
      <c r="AD290" s="1"/>
    </row>
    <row r="291" spans="1:30" ht="15">
      <c r="A291" s="4"/>
      <c r="B291" s="648"/>
      <c r="C291" s="515"/>
      <c r="D291" s="515"/>
      <c r="E291" s="515"/>
      <c r="F291" s="551"/>
      <c r="G291" s="515"/>
      <c r="H291" s="515"/>
      <c r="I291" s="515"/>
      <c r="J291" s="515"/>
      <c r="K291" s="515"/>
      <c r="L291" s="515"/>
      <c r="M291" s="515"/>
      <c r="N291" s="515"/>
      <c r="O291" s="515"/>
      <c r="P291" s="515"/>
      <c r="Q291" s="515"/>
      <c r="R291" s="515"/>
      <c r="S291" s="551"/>
      <c r="T291" s="515"/>
      <c r="U291" s="515"/>
      <c r="V291" s="515"/>
      <c r="W291" s="515"/>
      <c r="X291" s="515"/>
      <c r="Y291" s="2"/>
      <c r="Z291" s="2"/>
      <c r="AA291" s="1"/>
      <c r="AB291" s="1"/>
      <c r="AC291" s="1"/>
      <c r="AD291" s="1"/>
    </row>
    <row r="292" spans="1:30" ht="15">
      <c r="A292" s="14" t="s">
        <v>141</v>
      </c>
      <c r="B292" s="649" t="s">
        <v>140</v>
      </c>
      <c r="C292" s="552">
        <v>7</v>
      </c>
      <c r="D292" s="552">
        <v>5</v>
      </c>
      <c r="E292" s="552">
        <f aca="true" t="shared" si="122" ref="E292:X292">SUM(E293:E298)</f>
        <v>66.45675000000001</v>
      </c>
      <c r="F292" s="552">
        <f t="shared" si="122"/>
        <v>23.11</v>
      </c>
      <c r="G292" s="552">
        <f t="shared" si="122"/>
        <v>38.03450000000001</v>
      </c>
      <c r="H292" s="552">
        <f t="shared" si="122"/>
        <v>4.8999999999999995</v>
      </c>
      <c r="I292" s="552">
        <f t="shared" si="122"/>
        <v>0.5</v>
      </c>
      <c r="J292" s="552">
        <f t="shared" si="122"/>
        <v>0</v>
      </c>
      <c r="K292" s="552">
        <f t="shared" si="122"/>
        <v>11.805</v>
      </c>
      <c r="L292" s="552">
        <f t="shared" si="122"/>
        <v>14.427</v>
      </c>
      <c r="M292" s="552">
        <f t="shared" si="122"/>
        <v>0</v>
      </c>
      <c r="N292" s="552">
        <f t="shared" si="122"/>
        <v>0</v>
      </c>
      <c r="O292" s="552">
        <f t="shared" si="122"/>
        <v>5.9025</v>
      </c>
      <c r="P292" s="552">
        <f t="shared" si="122"/>
        <v>0</v>
      </c>
      <c r="Q292" s="552">
        <f t="shared" si="122"/>
        <v>0.5</v>
      </c>
      <c r="R292" s="552">
        <f t="shared" si="122"/>
        <v>0</v>
      </c>
      <c r="S292" s="552">
        <f t="shared" si="122"/>
        <v>0</v>
      </c>
      <c r="T292" s="552">
        <f t="shared" si="122"/>
        <v>0</v>
      </c>
      <c r="U292" s="552">
        <f t="shared" si="122"/>
        <v>0</v>
      </c>
      <c r="V292" s="552">
        <f t="shared" si="122"/>
        <v>0</v>
      </c>
      <c r="W292" s="552">
        <f t="shared" si="122"/>
        <v>0</v>
      </c>
      <c r="X292" s="552">
        <f t="shared" si="122"/>
        <v>5.312250000000001</v>
      </c>
      <c r="Y292" s="563">
        <f>ROUNDUP(SUM(Y293:Y298),-3)</f>
        <v>1188247000</v>
      </c>
      <c r="Z292" s="563"/>
      <c r="AA292" s="13"/>
      <c r="AB292" s="13"/>
      <c r="AC292" s="13"/>
      <c r="AD292" s="13"/>
    </row>
    <row r="293" spans="1:30" ht="15">
      <c r="A293" s="4">
        <v>1</v>
      </c>
      <c r="B293" s="3" t="s">
        <v>31</v>
      </c>
      <c r="C293" s="515"/>
      <c r="D293" s="515"/>
      <c r="E293" s="592">
        <f aca="true" t="shared" si="123" ref="E293:E298">F293+G293+X293</f>
        <v>17.82</v>
      </c>
      <c r="F293" s="551">
        <v>6.1</v>
      </c>
      <c r="G293" s="515">
        <f aca="true" t="shared" si="124" ref="G293:G298">SUM(H293:W293)</f>
        <v>10.28</v>
      </c>
      <c r="H293" s="515">
        <v>0.7</v>
      </c>
      <c r="I293" s="515">
        <v>0.3</v>
      </c>
      <c r="J293" s="515"/>
      <c r="K293" s="515">
        <f aca="true" t="shared" si="125" ref="K293:K298">(F293+I293)*50%</f>
        <v>3.1999999999999997</v>
      </c>
      <c r="L293" s="515">
        <f>0.7*(F293+I293)</f>
        <v>4.4799999999999995</v>
      </c>
      <c r="M293" s="515"/>
      <c r="N293" s="515"/>
      <c r="O293" s="592">
        <f aca="true" t="shared" si="126" ref="O293:O298">(F293+I293)*25%</f>
        <v>1.5999999999999999</v>
      </c>
      <c r="P293" s="515"/>
      <c r="Q293" s="515"/>
      <c r="R293" s="515"/>
      <c r="S293" s="551"/>
      <c r="T293" s="515"/>
      <c r="U293" s="515"/>
      <c r="V293" s="515"/>
      <c r="W293" s="592"/>
      <c r="X293" s="515">
        <f aca="true" t="shared" si="127" ref="X293:X298">(F293+I293)*0.225</f>
        <v>1.44</v>
      </c>
      <c r="Y293" s="2">
        <f aca="true" t="shared" si="128" ref="Y293:Y298">E293*1490000*12</f>
        <v>318621600</v>
      </c>
      <c r="Z293" s="2"/>
      <c r="AA293" s="1"/>
      <c r="AB293" s="1"/>
      <c r="AC293" s="1"/>
      <c r="AD293" s="1"/>
    </row>
    <row r="294" spans="1:30" ht="15">
      <c r="A294" s="4">
        <v>2</v>
      </c>
      <c r="B294" s="3" t="s">
        <v>106</v>
      </c>
      <c r="C294" s="515"/>
      <c r="D294" s="515"/>
      <c r="E294" s="592">
        <f t="shared" si="123"/>
        <v>11.908250000000002</v>
      </c>
      <c r="F294" s="551">
        <v>3.99</v>
      </c>
      <c r="G294" s="515">
        <f t="shared" si="124"/>
        <v>6.975500000000001</v>
      </c>
      <c r="H294" s="515">
        <v>0.7</v>
      </c>
      <c r="I294" s="515">
        <v>0.2</v>
      </c>
      <c r="J294" s="515"/>
      <c r="K294" s="515">
        <f t="shared" si="125"/>
        <v>2.095</v>
      </c>
      <c r="L294" s="515">
        <f>0.7*(F294+I294)</f>
        <v>2.9330000000000003</v>
      </c>
      <c r="M294" s="515"/>
      <c r="N294" s="515"/>
      <c r="O294" s="592">
        <f t="shared" si="126"/>
        <v>1.0475</v>
      </c>
      <c r="P294" s="515"/>
      <c r="Q294" s="515"/>
      <c r="R294" s="515"/>
      <c r="S294" s="551"/>
      <c r="T294" s="515"/>
      <c r="U294" s="515"/>
      <c r="V294" s="515"/>
      <c r="W294" s="592"/>
      <c r="X294" s="515">
        <f t="shared" si="127"/>
        <v>0.9427500000000001</v>
      </c>
      <c r="Y294" s="2">
        <f t="shared" si="128"/>
        <v>212919510.00000006</v>
      </c>
      <c r="Z294" s="2"/>
      <c r="AA294" s="1"/>
      <c r="AB294" s="1"/>
      <c r="AC294" s="1"/>
      <c r="AD294" s="1"/>
    </row>
    <row r="295" spans="1:30" ht="15">
      <c r="A295" s="4">
        <v>3</v>
      </c>
      <c r="B295" s="3" t="s">
        <v>251</v>
      </c>
      <c r="C295" s="515"/>
      <c r="D295" s="515"/>
      <c r="E295" s="592">
        <f t="shared" si="123"/>
        <v>7.125</v>
      </c>
      <c r="F295" s="551">
        <v>3</v>
      </c>
      <c r="G295" s="515">
        <f t="shared" si="124"/>
        <v>3.45</v>
      </c>
      <c r="H295" s="515">
        <v>0.7</v>
      </c>
      <c r="I295" s="515"/>
      <c r="J295" s="515"/>
      <c r="K295" s="515">
        <f t="shared" si="125"/>
        <v>1.5</v>
      </c>
      <c r="L295" s="515"/>
      <c r="M295" s="515"/>
      <c r="N295" s="515"/>
      <c r="O295" s="592">
        <f t="shared" si="126"/>
        <v>0.75</v>
      </c>
      <c r="P295" s="515"/>
      <c r="Q295" s="515">
        <v>0.5</v>
      </c>
      <c r="R295" s="515"/>
      <c r="S295" s="551"/>
      <c r="T295" s="515"/>
      <c r="U295" s="515"/>
      <c r="V295" s="515"/>
      <c r="W295" s="592"/>
      <c r="X295" s="515">
        <f t="shared" si="127"/>
        <v>0.675</v>
      </c>
      <c r="Y295" s="2">
        <f t="shared" si="128"/>
        <v>127395000</v>
      </c>
      <c r="Z295" s="2"/>
      <c r="AA295" s="1"/>
      <c r="AB295" s="1"/>
      <c r="AC295" s="1"/>
      <c r="AD295" s="1"/>
    </row>
    <row r="296" spans="1:30" ht="15">
      <c r="A296" s="4">
        <v>4</v>
      </c>
      <c r="B296" s="3" t="s">
        <v>139</v>
      </c>
      <c r="C296" s="515"/>
      <c r="D296" s="515"/>
      <c r="E296" s="592">
        <f t="shared" si="123"/>
        <v>8.725000000000001</v>
      </c>
      <c r="F296" s="551">
        <v>3</v>
      </c>
      <c r="G296" s="515">
        <f t="shared" si="124"/>
        <v>5.05</v>
      </c>
      <c r="H296" s="515">
        <v>0.7</v>
      </c>
      <c r="I296" s="515"/>
      <c r="J296" s="515"/>
      <c r="K296" s="515">
        <f t="shared" si="125"/>
        <v>1.5</v>
      </c>
      <c r="L296" s="515">
        <f>0.7*(F296+I296)</f>
        <v>2.0999999999999996</v>
      </c>
      <c r="M296" s="515"/>
      <c r="N296" s="515"/>
      <c r="O296" s="592">
        <f t="shared" si="126"/>
        <v>0.75</v>
      </c>
      <c r="P296" s="515"/>
      <c r="Q296" s="515"/>
      <c r="R296" s="515"/>
      <c r="S296" s="551"/>
      <c r="T296" s="515"/>
      <c r="U296" s="515"/>
      <c r="V296" s="515"/>
      <c r="W296" s="592"/>
      <c r="X296" s="515">
        <f t="shared" si="127"/>
        <v>0.675</v>
      </c>
      <c r="Y296" s="2">
        <f t="shared" si="128"/>
        <v>156003000.00000003</v>
      </c>
      <c r="Z296" s="2"/>
      <c r="AA296" s="1"/>
      <c r="AB296" s="1"/>
      <c r="AC296" s="1"/>
      <c r="AD296" s="1"/>
    </row>
    <row r="297" spans="1:30" ht="15">
      <c r="A297" s="4">
        <v>5</v>
      </c>
      <c r="B297" s="3" t="s">
        <v>551</v>
      </c>
      <c r="C297" s="515"/>
      <c r="D297" s="515"/>
      <c r="E297" s="592">
        <f t="shared" si="123"/>
        <v>13.919</v>
      </c>
      <c r="F297" s="551">
        <f>2*2.34</f>
        <v>4.68</v>
      </c>
      <c r="G297" s="515">
        <f t="shared" si="124"/>
        <v>8.186</v>
      </c>
      <c r="H297" s="515">
        <f>0.7*2</f>
        <v>1.4</v>
      </c>
      <c r="I297" s="515"/>
      <c r="J297" s="515"/>
      <c r="K297" s="515">
        <f t="shared" si="125"/>
        <v>2.34</v>
      </c>
      <c r="L297" s="515">
        <f>0.7*(F297+I297)</f>
        <v>3.276</v>
      </c>
      <c r="M297" s="515"/>
      <c r="N297" s="515"/>
      <c r="O297" s="592">
        <f t="shared" si="126"/>
        <v>1.17</v>
      </c>
      <c r="P297" s="515"/>
      <c r="Q297" s="515"/>
      <c r="R297" s="515"/>
      <c r="S297" s="551"/>
      <c r="T297" s="515"/>
      <c r="U297" s="515"/>
      <c r="V297" s="515"/>
      <c r="W297" s="592"/>
      <c r="X297" s="515">
        <f t="shared" si="127"/>
        <v>1.053</v>
      </c>
      <c r="Y297" s="2">
        <f t="shared" si="128"/>
        <v>248871720</v>
      </c>
      <c r="Z297" s="2"/>
      <c r="AA297" s="1"/>
      <c r="AB297" s="1"/>
      <c r="AC297" s="1"/>
      <c r="AD297" s="1"/>
    </row>
    <row r="298" spans="1:30" ht="15">
      <c r="A298" s="4">
        <v>6</v>
      </c>
      <c r="B298" s="3" t="s">
        <v>137</v>
      </c>
      <c r="C298" s="515"/>
      <c r="D298" s="515"/>
      <c r="E298" s="592">
        <f t="shared" si="123"/>
        <v>6.9595</v>
      </c>
      <c r="F298" s="551">
        <v>2.34</v>
      </c>
      <c r="G298" s="515">
        <f t="shared" si="124"/>
        <v>4.093</v>
      </c>
      <c r="H298" s="515">
        <v>0.7</v>
      </c>
      <c r="I298" s="515"/>
      <c r="J298" s="515"/>
      <c r="K298" s="515">
        <f t="shared" si="125"/>
        <v>1.17</v>
      </c>
      <c r="L298" s="515">
        <f>0.7*(F298+I298)</f>
        <v>1.638</v>
      </c>
      <c r="M298" s="515"/>
      <c r="N298" s="515"/>
      <c r="O298" s="592">
        <f t="shared" si="126"/>
        <v>0.585</v>
      </c>
      <c r="P298" s="515"/>
      <c r="Q298" s="515"/>
      <c r="R298" s="515"/>
      <c r="S298" s="551"/>
      <c r="T298" s="515"/>
      <c r="U298" s="515"/>
      <c r="V298" s="515"/>
      <c r="W298" s="592"/>
      <c r="X298" s="515">
        <f t="shared" si="127"/>
        <v>0.5265</v>
      </c>
      <c r="Y298" s="2">
        <f t="shared" si="128"/>
        <v>124435860</v>
      </c>
      <c r="Z298" s="2"/>
      <c r="AA298" s="1"/>
      <c r="AB298" s="1"/>
      <c r="AC298" s="1"/>
      <c r="AD298" s="1"/>
    </row>
    <row r="299" spans="1:30" ht="15">
      <c r="A299" s="14" t="s">
        <v>136</v>
      </c>
      <c r="B299" s="652" t="s">
        <v>135</v>
      </c>
      <c r="C299" s="552">
        <v>6</v>
      </c>
      <c r="D299" s="552">
        <v>5</v>
      </c>
      <c r="E299" s="591">
        <f>SUM(E300:E305)</f>
        <v>65.90050000000001</v>
      </c>
      <c r="F299" s="591">
        <f aca="true" t="shared" si="129" ref="F299:W299">SUM(F300:F305)</f>
        <v>21.96</v>
      </c>
      <c r="G299" s="591">
        <f t="shared" si="129"/>
        <v>38.842000000000006</v>
      </c>
      <c r="H299" s="591">
        <f t="shared" si="129"/>
        <v>4.2</v>
      </c>
      <c r="I299" s="591">
        <f t="shared" si="129"/>
        <v>0.7</v>
      </c>
      <c r="J299" s="591">
        <f t="shared" si="129"/>
        <v>0</v>
      </c>
      <c r="K299" s="591">
        <f t="shared" si="129"/>
        <v>11.33</v>
      </c>
      <c r="L299" s="591">
        <f t="shared" si="129"/>
        <v>15.862</v>
      </c>
      <c r="M299" s="591">
        <f t="shared" si="129"/>
        <v>0</v>
      </c>
      <c r="N299" s="591">
        <f t="shared" si="129"/>
        <v>0</v>
      </c>
      <c r="O299" s="591">
        <f t="shared" si="129"/>
        <v>5.665</v>
      </c>
      <c r="P299" s="591">
        <f t="shared" si="129"/>
        <v>0</v>
      </c>
      <c r="Q299" s="591">
        <f t="shared" si="129"/>
        <v>0</v>
      </c>
      <c r="R299" s="591">
        <f t="shared" si="129"/>
        <v>0</v>
      </c>
      <c r="S299" s="591">
        <f t="shared" si="129"/>
        <v>0</v>
      </c>
      <c r="T299" s="591">
        <f t="shared" si="129"/>
        <v>0</v>
      </c>
      <c r="U299" s="591">
        <f t="shared" si="129"/>
        <v>0.7850000000000001</v>
      </c>
      <c r="V299" s="591">
        <f t="shared" si="129"/>
        <v>0</v>
      </c>
      <c r="W299" s="591">
        <f t="shared" si="129"/>
        <v>0.3</v>
      </c>
      <c r="X299" s="591">
        <f>SUM(X300:X305)</f>
        <v>5.0985</v>
      </c>
      <c r="Y299" s="563">
        <f>ROUNDUP(SUM(Y300:Y305),-3)</f>
        <v>1178301000</v>
      </c>
      <c r="Z299" s="563"/>
      <c r="AA299" s="13"/>
      <c r="AB299" s="13"/>
      <c r="AC299" s="13"/>
      <c r="AD299" s="13"/>
    </row>
    <row r="300" spans="1:30" ht="15">
      <c r="A300" s="4">
        <v>1</v>
      </c>
      <c r="B300" s="3" t="s">
        <v>25</v>
      </c>
      <c r="C300" s="515"/>
      <c r="D300" s="515"/>
      <c r="E300" s="592">
        <f aca="true" t="shared" si="130" ref="E300:E305">F300+G300+X300</f>
        <v>13.94125</v>
      </c>
      <c r="F300" s="551">
        <v>4.65</v>
      </c>
      <c r="G300" s="515">
        <f>H300+I300+J300+K300+L300+M300+N300+O300+P300+Q300+R300+S300+T300+U300+W300</f>
        <v>8.1775</v>
      </c>
      <c r="H300" s="515">
        <v>0.7</v>
      </c>
      <c r="I300" s="515">
        <v>0.3</v>
      </c>
      <c r="J300" s="515"/>
      <c r="K300" s="515">
        <f>(F300+I300+J300+M300)*0.5</f>
        <v>2.475</v>
      </c>
      <c r="L300" s="515">
        <f aca="true" t="shared" si="131" ref="L300:L305">0.7*(F300+I300)</f>
        <v>3.465</v>
      </c>
      <c r="M300" s="515"/>
      <c r="N300" s="515"/>
      <c r="O300" s="592">
        <f>(F300+I300)*0.25</f>
        <v>1.2375</v>
      </c>
      <c r="P300" s="515"/>
      <c r="Q300" s="515"/>
      <c r="R300" s="515"/>
      <c r="S300" s="551"/>
      <c r="T300" s="515"/>
      <c r="U300" s="592"/>
      <c r="V300" s="592"/>
      <c r="W300" s="592"/>
      <c r="X300" s="515">
        <f aca="true" t="shared" si="132" ref="X300:X305">(F300+I300)*0.225</f>
        <v>1.11375</v>
      </c>
      <c r="Y300" s="2">
        <f aca="true" t="shared" si="133" ref="Y300:Y305">E300*1490000*12</f>
        <v>249269550</v>
      </c>
      <c r="Z300" s="2"/>
      <c r="AA300" s="1"/>
      <c r="AB300" s="1"/>
      <c r="AC300" s="1"/>
      <c r="AD300" s="1"/>
    </row>
    <row r="301" spans="1:30" ht="15">
      <c r="A301" s="4">
        <v>2</v>
      </c>
      <c r="B301" s="3" t="s">
        <v>134</v>
      </c>
      <c r="C301" s="515"/>
      <c r="D301" s="515"/>
      <c r="E301" s="592">
        <f t="shared" si="130"/>
        <v>14.458750000000002</v>
      </c>
      <c r="F301" s="551">
        <v>4.65</v>
      </c>
      <c r="G301" s="515">
        <f>H301+I301+J301+K301+L301+M301+N301+O301+P301+Q301+R301+S301+T301+U301+W301</f>
        <v>8.717500000000001</v>
      </c>
      <c r="H301" s="515">
        <v>0.7</v>
      </c>
      <c r="I301" s="515">
        <v>0.2</v>
      </c>
      <c r="J301" s="515"/>
      <c r="K301" s="515">
        <f>(F301+I301+J301+M301)*0.5</f>
        <v>2.4250000000000003</v>
      </c>
      <c r="L301" s="515">
        <f t="shared" si="131"/>
        <v>3.395</v>
      </c>
      <c r="M301" s="515"/>
      <c r="N301" s="515"/>
      <c r="O301" s="592">
        <f>(F301+I301)*0.25</f>
        <v>1.2125000000000001</v>
      </c>
      <c r="P301" s="515"/>
      <c r="Q301" s="515"/>
      <c r="R301" s="515"/>
      <c r="S301" s="551"/>
      <c r="T301" s="515"/>
      <c r="U301" s="592">
        <f>(F301+I301)*0.1</f>
        <v>0.4850000000000001</v>
      </c>
      <c r="V301" s="592"/>
      <c r="W301" s="592">
        <v>0.3</v>
      </c>
      <c r="X301" s="515">
        <f t="shared" si="132"/>
        <v>1.09125</v>
      </c>
      <c r="Y301" s="2">
        <f t="shared" si="133"/>
        <v>258522450.00000006</v>
      </c>
      <c r="Z301" s="2"/>
      <c r="AA301" s="1"/>
      <c r="AB301" s="1"/>
      <c r="AC301" s="1"/>
      <c r="AD301" s="1"/>
    </row>
    <row r="302" spans="1:30" ht="15">
      <c r="A302" s="4">
        <v>3</v>
      </c>
      <c r="B302" s="3" t="s">
        <v>552</v>
      </c>
      <c r="C302" s="515"/>
      <c r="D302" s="515"/>
      <c r="E302" s="592">
        <f t="shared" si="130"/>
        <v>9.025</v>
      </c>
      <c r="F302" s="551">
        <v>3</v>
      </c>
      <c r="G302" s="515">
        <f>H302+I302+J302+K302+L302+M302+N302+O302+P302+Q302+R302+S302+T302+U302+W302</f>
        <v>5.35</v>
      </c>
      <c r="H302" s="515">
        <v>0.7</v>
      </c>
      <c r="I302" s="515"/>
      <c r="J302" s="515"/>
      <c r="K302" s="515">
        <f>(F302+I302+J302+M302)*0.5</f>
        <v>1.5</v>
      </c>
      <c r="L302" s="515">
        <f t="shared" si="131"/>
        <v>2.0999999999999996</v>
      </c>
      <c r="M302" s="515"/>
      <c r="N302" s="515"/>
      <c r="O302" s="592">
        <f>(F302+I302)*0.25</f>
        <v>0.75</v>
      </c>
      <c r="P302" s="515"/>
      <c r="Q302" s="515"/>
      <c r="R302" s="515"/>
      <c r="S302" s="551"/>
      <c r="T302" s="515"/>
      <c r="U302" s="592">
        <f>(F302+I302)*0.1</f>
        <v>0.30000000000000004</v>
      </c>
      <c r="V302" s="592"/>
      <c r="W302" s="592"/>
      <c r="X302" s="515">
        <f t="shared" si="132"/>
        <v>0.675</v>
      </c>
      <c r="Y302" s="2">
        <f t="shared" si="133"/>
        <v>161367000</v>
      </c>
      <c r="Z302" s="2"/>
      <c r="AA302" s="1"/>
      <c r="AB302" s="1"/>
      <c r="AC302" s="1"/>
      <c r="AD302" s="1"/>
    </row>
    <row r="303" spans="1:30" ht="15">
      <c r="A303" s="4">
        <v>4</v>
      </c>
      <c r="B303" s="3" t="s">
        <v>72</v>
      </c>
      <c r="C303" s="515"/>
      <c r="D303" s="515"/>
      <c r="E303" s="592">
        <f t="shared" si="130"/>
        <v>6.9595</v>
      </c>
      <c r="F303" s="551">
        <v>2.34</v>
      </c>
      <c r="G303" s="515">
        <f>SUM(H303:W303)</f>
        <v>4.093</v>
      </c>
      <c r="H303" s="515">
        <v>0.7</v>
      </c>
      <c r="I303" s="515"/>
      <c r="J303" s="515"/>
      <c r="K303" s="515">
        <f>(F303+I303+J303+M303)*0.5</f>
        <v>1.17</v>
      </c>
      <c r="L303" s="515">
        <f t="shared" si="131"/>
        <v>1.638</v>
      </c>
      <c r="M303" s="515"/>
      <c r="N303" s="515"/>
      <c r="O303" s="592">
        <f>(F303+I303)*0.25</f>
        <v>0.585</v>
      </c>
      <c r="P303" s="515"/>
      <c r="Q303" s="515"/>
      <c r="R303" s="515"/>
      <c r="S303" s="551"/>
      <c r="T303" s="515"/>
      <c r="U303" s="515"/>
      <c r="V303" s="515"/>
      <c r="W303" s="592"/>
      <c r="X303" s="515">
        <f t="shared" si="132"/>
        <v>0.5265</v>
      </c>
      <c r="Y303" s="2">
        <f t="shared" si="133"/>
        <v>124435860</v>
      </c>
      <c r="Z303" s="2"/>
      <c r="AA303" s="1"/>
      <c r="AB303" s="1"/>
      <c r="AC303" s="1"/>
      <c r="AD303" s="1"/>
    </row>
    <row r="304" spans="1:30" ht="15">
      <c r="A304" s="4">
        <v>5</v>
      </c>
      <c r="B304" s="3" t="s">
        <v>133</v>
      </c>
      <c r="C304" s="515"/>
      <c r="D304" s="515"/>
      <c r="E304" s="592">
        <f t="shared" si="130"/>
        <v>12.256</v>
      </c>
      <c r="F304" s="551">
        <v>4.32</v>
      </c>
      <c r="G304" s="515">
        <f>SUM(H304:W304)</f>
        <v>6.964</v>
      </c>
      <c r="H304" s="515">
        <v>0.7</v>
      </c>
      <c r="I304" s="515"/>
      <c r="J304" s="515"/>
      <c r="K304" s="515">
        <f>(F304+I304)*50%</f>
        <v>2.16</v>
      </c>
      <c r="L304" s="515">
        <f t="shared" si="131"/>
        <v>3.024</v>
      </c>
      <c r="M304" s="515"/>
      <c r="N304" s="515"/>
      <c r="O304" s="592">
        <f>(F304+I304)*25%</f>
        <v>1.08</v>
      </c>
      <c r="P304" s="515"/>
      <c r="Q304" s="515"/>
      <c r="R304" s="515"/>
      <c r="S304" s="551"/>
      <c r="T304" s="515"/>
      <c r="U304" s="515"/>
      <c r="V304" s="515"/>
      <c r="W304" s="592"/>
      <c r="X304" s="515">
        <f t="shared" si="132"/>
        <v>0.9720000000000001</v>
      </c>
      <c r="Y304" s="2">
        <f t="shared" si="133"/>
        <v>219137280</v>
      </c>
      <c r="Z304" s="2"/>
      <c r="AA304" s="1"/>
      <c r="AB304" s="1"/>
      <c r="AC304" s="1"/>
      <c r="AD304" s="1"/>
    </row>
    <row r="305" spans="1:30" ht="15">
      <c r="A305" s="4">
        <v>6</v>
      </c>
      <c r="B305" s="3" t="s">
        <v>132</v>
      </c>
      <c r="C305" s="515"/>
      <c r="D305" s="515"/>
      <c r="E305" s="592">
        <f t="shared" si="130"/>
        <v>9.26</v>
      </c>
      <c r="F305" s="551">
        <v>3</v>
      </c>
      <c r="G305" s="515">
        <f>H305+I305+J305+K305+L305+M305+N305+O305+P305+Q305+R305+S305+T305+U305+W305</f>
        <v>5.54</v>
      </c>
      <c r="H305" s="515">
        <v>0.7</v>
      </c>
      <c r="I305" s="515">
        <v>0.2</v>
      </c>
      <c r="J305" s="515"/>
      <c r="K305" s="515">
        <f>(F305+I305+J305+M305)*0.5</f>
        <v>1.6</v>
      </c>
      <c r="L305" s="515">
        <f t="shared" si="131"/>
        <v>2.2399999999999998</v>
      </c>
      <c r="M305" s="515"/>
      <c r="N305" s="515"/>
      <c r="O305" s="592">
        <f>(F305+I305)*0.25</f>
        <v>0.8</v>
      </c>
      <c r="P305" s="515"/>
      <c r="Q305" s="515"/>
      <c r="R305" s="515"/>
      <c r="S305" s="551"/>
      <c r="T305" s="515"/>
      <c r="U305" s="515"/>
      <c r="V305" s="515"/>
      <c r="W305" s="592"/>
      <c r="X305" s="515">
        <f t="shared" si="132"/>
        <v>0.7200000000000001</v>
      </c>
      <c r="Y305" s="2">
        <f t="shared" si="133"/>
        <v>165568800</v>
      </c>
      <c r="Z305" s="2"/>
      <c r="AA305" s="1"/>
      <c r="AB305" s="1"/>
      <c r="AC305" s="1"/>
      <c r="AD305" s="1"/>
    </row>
    <row r="306" spans="1:30" ht="15">
      <c r="A306" s="4">
        <v>6</v>
      </c>
      <c r="B306" s="652" t="s">
        <v>130</v>
      </c>
      <c r="C306" s="552">
        <v>3</v>
      </c>
      <c r="D306" s="552">
        <v>2</v>
      </c>
      <c r="E306" s="591">
        <f>E307</f>
        <v>0</v>
      </c>
      <c r="F306" s="591">
        <f aca="true" t="shared" si="134" ref="F306:Y306">F307</f>
        <v>0</v>
      </c>
      <c r="G306" s="591">
        <f t="shared" si="134"/>
        <v>0</v>
      </c>
      <c r="H306" s="591">
        <f t="shared" si="134"/>
        <v>0</v>
      </c>
      <c r="I306" s="591">
        <f t="shared" si="134"/>
        <v>0</v>
      </c>
      <c r="J306" s="591">
        <f t="shared" si="134"/>
        <v>0</v>
      </c>
      <c r="K306" s="591">
        <f t="shared" si="134"/>
        <v>0</v>
      </c>
      <c r="L306" s="591">
        <f t="shared" si="134"/>
        <v>0</v>
      </c>
      <c r="M306" s="591">
        <f t="shared" si="134"/>
        <v>0</v>
      </c>
      <c r="N306" s="591">
        <f t="shared" si="134"/>
        <v>0</v>
      </c>
      <c r="O306" s="591">
        <f t="shared" si="134"/>
        <v>0</v>
      </c>
      <c r="P306" s="591">
        <f t="shared" si="134"/>
        <v>0</v>
      </c>
      <c r="Q306" s="591">
        <f t="shared" si="134"/>
        <v>0</v>
      </c>
      <c r="R306" s="591">
        <f t="shared" si="134"/>
        <v>0</v>
      </c>
      <c r="S306" s="591">
        <f t="shared" si="134"/>
        <v>0</v>
      </c>
      <c r="T306" s="591">
        <f t="shared" si="134"/>
        <v>0</v>
      </c>
      <c r="U306" s="591">
        <f t="shared" si="134"/>
        <v>0</v>
      </c>
      <c r="V306" s="591"/>
      <c r="W306" s="591">
        <f t="shared" si="134"/>
        <v>0</v>
      </c>
      <c r="X306" s="591">
        <f t="shared" si="134"/>
        <v>0</v>
      </c>
      <c r="Y306" s="563">
        <f t="shared" si="134"/>
        <v>0</v>
      </c>
      <c r="Z306" s="563"/>
      <c r="AA306" s="13"/>
      <c r="AB306" s="13"/>
      <c r="AC306" s="13"/>
      <c r="AD306" s="13"/>
    </row>
    <row r="307" spans="1:30" ht="15">
      <c r="A307" s="4">
        <v>7</v>
      </c>
      <c r="B307" s="652"/>
      <c r="C307" s="552"/>
      <c r="D307" s="552"/>
      <c r="E307" s="591"/>
      <c r="F307" s="653"/>
      <c r="G307" s="591"/>
      <c r="H307" s="591"/>
      <c r="I307" s="591"/>
      <c r="J307" s="591"/>
      <c r="K307" s="591"/>
      <c r="L307" s="591"/>
      <c r="M307" s="591"/>
      <c r="N307" s="591"/>
      <c r="O307" s="591"/>
      <c r="P307" s="591"/>
      <c r="Q307" s="591"/>
      <c r="R307" s="591"/>
      <c r="S307" s="647"/>
      <c r="T307" s="591"/>
      <c r="U307" s="591"/>
      <c r="V307" s="591"/>
      <c r="W307" s="591"/>
      <c r="X307" s="591"/>
      <c r="Y307" s="563"/>
      <c r="Z307" s="563"/>
      <c r="AA307" s="13"/>
      <c r="AB307" s="13"/>
      <c r="AC307" s="13"/>
      <c r="AD307" s="13"/>
    </row>
    <row r="308" spans="1:30" ht="15">
      <c r="A308" s="4">
        <v>8</v>
      </c>
      <c r="B308" s="3"/>
      <c r="C308" s="515"/>
      <c r="D308" s="515"/>
      <c r="E308" s="515"/>
      <c r="F308" s="551"/>
      <c r="G308" s="515"/>
      <c r="H308" s="515"/>
      <c r="I308" s="515"/>
      <c r="J308" s="515"/>
      <c r="K308" s="515"/>
      <c r="L308" s="515"/>
      <c r="M308" s="515"/>
      <c r="N308" s="515"/>
      <c r="O308" s="592"/>
      <c r="P308" s="515"/>
      <c r="Q308" s="515"/>
      <c r="R308" s="515"/>
      <c r="S308" s="551"/>
      <c r="T308" s="515"/>
      <c r="U308" s="515"/>
      <c r="V308" s="515"/>
      <c r="W308" s="592"/>
      <c r="X308" s="515"/>
      <c r="Y308" s="2"/>
      <c r="Z308" s="2"/>
      <c r="AA308" s="1"/>
      <c r="AB308" s="1"/>
      <c r="AC308" s="1"/>
      <c r="AD308" s="1"/>
    </row>
    <row r="309" spans="1:30" ht="15">
      <c r="A309" s="4">
        <v>9</v>
      </c>
      <c r="B309" s="3"/>
      <c r="C309" s="515"/>
      <c r="D309" s="515"/>
      <c r="E309" s="592"/>
      <c r="F309" s="551"/>
      <c r="G309" s="515"/>
      <c r="H309" s="515"/>
      <c r="I309" s="515"/>
      <c r="J309" s="515"/>
      <c r="K309" s="515"/>
      <c r="L309" s="515"/>
      <c r="M309" s="515"/>
      <c r="N309" s="515"/>
      <c r="O309" s="592"/>
      <c r="P309" s="515"/>
      <c r="Q309" s="515"/>
      <c r="R309" s="515"/>
      <c r="S309" s="551"/>
      <c r="T309" s="515"/>
      <c r="U309" s="515"/>
      <c r="V309" s="515"/>
      <c r="W309" s="592"/>
      <c r="X309" s="515"/>
      <c r="Y309" s="2"/>
      <c r="Z309" s="2"/>
      <c r="AA309" s="1"/>
      <c r="AB309" s="1"/>
      <c r="AC309" s="1"/>
      <c r="AD309" s="1"/>
    </row>
    <row r="310" spans="1:30" ht="15">
      <c r="A310" s="4">
        <v>10</v>
      </c>
      <c r="B310" s="3"/>
      <c r="C310" s="515"/>
      <c r="D310" s="515"/>
      <c r="E310" s="515"/>
      <c r="F310" s="551"/>
      <c r="G310" s="515"/>
      <c r="H310" s="515"/>
      <c r="I310" s="515"/>
      <c r="J310" s="515"/>
      <c r="K310" s="515"/>
      <c r="L310" s="515"/>
      <c r="M310" s="515"/>
      <c r="N310" s="515"/>
      <c r="O310" s="592"/>
      <c r="P310" s="515"/>
      <c r="Q310" s="515"/>
      <c r="R310" s="515"/>
      <c r="S310" s="551"/>
      <c r="T310" s="515"/>
      <c r="U310" s="515"/>
      <c r="V310" s="515"/>
      <c r="W310" s="592"/>
      <c r="X310" s="515"/>
      <c r="Y310" s="2"/>
      <c r="Z310" s="2"/>
      <c r="AA310" s="1"/>
      <c r="AB310" s="1"/>
      <c r="AC310" s="1"/>
      <c r="AD310" s="1"/>
    </row>
    <row r="311" spans="1:30" ht="15">
      <c r="A311" s="14" t="s">
        <v>129</v>
      </c>
      <c r="B311" s="652" t="s">
        <v>128</v>
      </c>
      <c r="C311" s="552">
        <v>6</v>
      </c>
      <c r="D311" s="552">
        <v>3</v>
      </c>
      <c r="E311" s="552">
        <f aca="true" t="shared" si="135" ref="E311:X311">SUM(E312:E315)</f>
        <v>47.0215</v>
      </c>
      <c r="F311" s="552">
        <f t="shared" si="135"/>
        <v>17.08</v>
      </c>
      <c r="G311" s="552">
        <f t="shared" si="135"/>
        <v>25.985999999999997</v>
      </c>
      <c r="H311" s="552">
        <f t="shared" si="135"/>
        <v>4.199999999999999</v>
      </c>
      <c r="I311" s="552">
        <f t="shared" si="135"/>
        <v>0.5</v>
      </c>
      <c r="J311" s="552">
        <f t="shared" si="135"/>
        <v>0</v>
      </c>
      <c r="K311" s="552">
        <f t="shared" si="135"/>
        <v>8.79</v>
      </c>
      <c r="L311" s="552">
        <f t="shared" si="135"/>
        <v>6.601</v>
      </c>
      <c r="M311" s="552">
        <f t="shared" si="135"/>
        <v>0</v>
      </c>
      <c r="N311" s="552">
        <f t="shared" si="135"/>
        <v>0</v>
      </c>
      <c r="O311" s="552">
        <f t="shared" si="135"/>
        <v>4.395</v>
      </c>
      <c r="P311" s="552">
        <f t="shared" si="135"/>
        <v>0</v>
      </c>
      <c r="Q311" s="552">
        <f t="shared" si="135"/>
        <v>1.5</v>
      </c>
      <c r="R311" s="552">
        <f t="shared" si="135"/>
        <v>0</v>
      </c>
      <c r="S311" s="552">
        <f t="shared" si="135"/>
        <v>0</v>
      </c>
      <c r="T311" s="552">
        <f t="shared" si="135"/>
        <v>0</v>
      </c>
      <c r="U311" s="552">
        <f t="shared" si="135"/>
        <v>0</v>
      </c>
      <c r="V311" s="552">
        <f t="shared" si="135"/>
        <v>0</v>
      </c>
      <c r="W311" s="552">
        <f t="shared" si="135"/>
        <v>0</v>
      </c>
      <c r="X311" s="552">
        <f t="shared" si="135"/>
        <v>3.9555000000000002</v>
      </c>
      <c r="Y311" s="552">
        <f>ROUNDUP(SUM(Y312:Y315),-3)</f>
        <v>840745000</v>
      </c>
      <c r="Z311" s="563"/>
      <c r="AA311" s="13"/>
      <c r="AB311" s="13"/>
      <c r="AC311" s="13"/>
      <c r="AD311" s="13"/>
    </row>
    <row r="312" spans="1:30" ht="15">
      <c r="A312" s="4">
        <v>1</v>
      </c>
      <c r="B312" s="646" t="s">
        <v>24</v>
      </c>
      <c r="C312" s="515"/>
      <c r="D312" s="515"/>
      <c r="E312" s="515">
        <f>F312+G312+X312</f>
        <v>9.020999999999999</v>
      </c>
      <c r="F312" s="551">
        <v>3.66</v>
      </c>
      <c r="G312" s="515">
        <f>H312+I312+J312+K312+L312+M312+N312+O312+P312+Q312+R312+S312+T312+U312+W312</f>
        <v>4.47</v>
      </c>
      <c r="H312" s="515">
        <v>0.7</v>
      </c>
      <c r="I312" s="515">
        <v>0.3</v>
      </c>
      <c r="J312" s="515"/>
      <c r="K312" s="515">
        <f>(F312+I312+J312+M312)*0.5</f>
        <v>1.98</v>
      </c>
      <c r="L312" s="515"/>
      <c r="M312" s="515"/>
      <c r="N312" s="515"/>
      <c r="O312" s="592">
        <f>(F312+I312)*0.25</f>
        <v>0.99</v>
      </c>
      <c r="P312" s="515"/>
      <c r="Q312" s="515">
        <v>0.5</v>
      </c>
      <c r="R312" s="515"/>
      <c r="S312" s="551"/>
      <c r="T312" s="515"/>
      <c r="U312" s="515"/>
      <c r="V312" s="515"/>
      <c r="W312" s="515"/>
      <c r="X312" s="515">
        <f>(F312+I312)*0.225</f>
        <v>0.891</v>
      </c>
      <c r="Y312" s="2">
        <f>E312*1490000*12</f>
        <v>161295479.99999997</v>
      </c>
      <c r="Z312" s="2"/>
      <c r="AA312" s="866" t="s">
        <v>553</v>
      </c>
      <c r="AB312" s="1"/>
      <c r="AC312" s="1"/>
      <c r="AD312" s="1"/>
    </row>
    <row r="313" spans="1:30" ht="15">
      <c r="A313" s="4">
        <v>2</v>
      </c>
      <c r="B313" s="646" t="s">
        <v>127</v>
      </c>
      <c r="C313" s="515"/>
      <c r="D313" s="515"/>
      <c r="E313" s="515">
        <f>F313+G313+X313</f>
        <v>9.97525</v>
      </c>
      <c r="F313" s="551">
        <v>3.99</v>
      </c>
      <c r="G313" s="515">
        <f>H313+I313+J313+K313+L313+M313+N313+O313+P313+Q313+R313+S313+T313+U313+W313</f>
        <v>5.0425</v>
      </c>
      <c r="H313" s="515">
        <v>0.7</v>
      </c>
      <c r="I313" s="515">
        <v>0.2</v>
      </c>
      <c r="J313" s="515"/>
      <c r="K313" s="515">
        <f>(F313+I313+J313+M313)*0.5</f>
        <v>2.095</v>
      </c>
      <c r="L313" s="515"/>
      <c r="M313" s="515"/>
      <c r="N313" s="515"/>
      <c r="O313" s="592">
        <f>(F313+I313)*0.25</f>
        <v>1.0475</v>
      </c>
      <c r="P313" s="515"/>
      <c r="Q313" s="515">
        <v>1</v>
      </c>
      <c r="R313" s="515"/>
      <c r="S313" s="551"/>
      <c r="T313" s="515"/>
      <c r="U313" s="515"/>
      <c r="V313" s="515"/>
      <c r="W313" s="515"/>
      <c r="X313" s="515">
        <f>(F313+I313)*0.225</f>
        <v>0.9427500000000001</v>
      </c>
      <c r="Y313" s="2">
        <f>E313*1490000*12</f>
        <v>178357470.00000003</v>
      </c>
      <c r="Z313" s="2"/>
      <c r="AA313" s="866"/>
      <c r="AB313" s="1"/>
      <c r="AC313" s="1"/>
      <c r="AD313" s="1"/>
    </row>
    <row r="314" spans="1:30" ht="15">
      <c r="A314" s="4">
        <v>3</v>
      </c>
      <c r="B314" s="654" t="s">
        <v>125</v>
      </c>
      <c r="C314" s="515"/>
      <c r="D314" s="515"/>
      <c r="E314" s="515">
        <f>F314+G314+X314</f>
        <v>7.14675</v>
      </c>
      <c r="F314" s="551">
        <v>2.41</v>
      </c>
      <c r="G314" s="515">
        <f>H314+I314+J314+K314+L314+M314+N314+O314+P314+Q314+R314+S314+T314+U314+W314</f>
        <v>4.1945</v>
      </c>
      <c r="H314" s="515">
        <v>0.7</v>
      </c>
      <c r="I314" s="515"/>
      <c r="J314" s="515"/>
      <c r="K314" s="515">
        <f>(F314+I314+J314+M314)*0.5</f>
        <v>1.205</v>
      </c>
      <c r="L314" s="515">
        <f>0.7*(F314+I314+J314)</f>
        <v>1.687</v>
      </c>
      <c r="M314" s="515"/>
      <c r="N314" s="515"/>
      <c r="O314" s="592">
        <f>(F314+I314)*0.25</f>
        <v>0.6025</v>
      </c>
      <c r="P314" s="515"/>
      <c r="Q314" s="515"/>
      <c r="R314" s="515"/>
      <c r="S314" s="551"/>
      <c r="T314" s="515"/>
      <c r="U314" s="515"/>
      <c r="V314" s="515"/>
      <c r="W314" s="515"/>
      <c r="X314" s="515">
        <f>(F314+I314)*0.225</f>
        <v>0.54225</v>
      </c>
      <c r="Y314" s="2">
        <f>E314*1490000*12</f>
        <v>127783890</v>
      </c>
      <c r="Z314" s="2"/>
      <c r="AA314" s="866"/>
      <c r="AB314" s="1"/>
      <c r="AC314" s="1"/>
      <c r="AD314" s="1"/>
    </row>
    <row r="315" spans="1:30" ht="15">
      <c r="A315" s="4">
        <v>4</v>
      </c>
      <c r="B315" s="3" t="s">
        <v>138</v>
      </c>
      <c r="C315" s="515"/>
      <c r="D315" s="515"/>
      <c r="E315" s="592">
        <f>F315+G315+X315</f>
        <v>20.8785</v>
      </c>
      <c r="F315" s="551">
        <f>3*2.34</f>
        <v>7.02</v>
      </c>
      <c r="G315" s="515">
        <f>SUM(H315:W315)</f>
        <v>12.279</v>
      </c>
      <c r="H315" s="515">
        <f>0.7*3</f>
        <v>2.0999999999999996</v>
      </c>
      <c r="I315" s="515"/>
      <c r="J315" s="515"/>
      <c r="K315" s="515">
        <f>(F315+I315+J315+M315)*0.5</f>
        <v>3.51</v>
      </c>
      <c r="L315" s="515">
        <f>0.7*(F315+I315+J315)</f>
        <v>4.914</v>
      </c>
      <c r="M315" s="515"/>
      <c r="N315" s="515"/>
      <c r="O315" s="592">
        <f>(F315+I315)*0.25</f>
        <v>1.755</v>
      </c>
      <c r="P315" s="515"/>
      <c r="Q315" s="515"/>
      <c r="R315" s="515"/>
      <c r="S315" s="551"/>
      <c r="T315" s="515"/>
      <c r="U315" s="515"/>
      <c r="V315" s="515"/>
      <c r="W315" s="592"/>
      <c r="X315" s="515">
        <f>(F315+I315)*0.225</f>
        <v>1.5795</v>
      </c>
      <c r="Y315" s="2">
        <f>E315*1490000*12</f>
        <v>373307580</v>
      </c>
      <c r="Z315" s="2"/>
      <c r="AA315" s="866"/>
      <c r="AB315" s="1"/>
      <c r="AC315" s="1"/>
      <c r="AD315" s="1"/>
    </row>
    <row r="316" spans="1:30" ht="25.5">
      <c r="A316" s="14" t="s">
        <v>123</v>
      </c>
      <c r="B316" s="10" t="s">
        <v>122</v>
      </c>
      <c r="C316" s="552">
        <v>6</v>
      </c>
      <c r="D316" s="552">
        <v>4</v>
      </c>
      <c r="E316" s="552">
        <f aca="true" t="shared" si="136" ref="E316:X316">SUM(E317:E321)</f>
        <v>57.5405</v>
      </c>
      <c r="F316" s="552">
        <f t="shared" si="136"/>
        <v>19.62</v>
      </c>
      <c r="G316" s="552">
        <f t="shared" si="136"/>
        <v>32.741</v>
      </c>
      <c r="H316" s="552">
        <f t="shared" si="136"/>
        <v>4.199999999999999</v>
      </c>
      <c r="I316" s="552">
        <f t="shared" si="136"/>
        <v>3.4000000000000004</v>
      </c>
      <c r="J316" s="552">
        <f t="shared" si="136"/>
        <v>0</v>
      </c>
      <c r="K316" s="552">
        <f t="shared" si="136"/>
        <v>11.51</v>
      </c>
      <c r="L316" s="552">
        <f t="shared" si="136"/>
        <v>5.3759999999999994</v>
      </c>
      <c r="M316" s="552">
        <f t="shared" si="136"/>
        <v>0</v>
      </c>
      <c r="N316" s="552">
        <f t="shared" si="136"/>
        <v>0</v>
      </c>
      <c r="O316" s="552">
        <f t="shared" si="136"/>
        <v>5.755</v>
      </c>
      <c r="P316" s="552">
        <f t="shared" si="136"/>
        <v>0</v>
      </c>
      <c r="Q316" s="552">
        <f t="shared" si="136"/>
        <v>2.5</v>
      </c>
      <c r="R316" s="552">
        <f t="shared" si="136"/>
        <v>0</v>
      </c>
      <c r="S316" s="552">
        <f t="shared" si="136"/>
        <v>0</v>
      </c>
      <c r="T316" s="552">
        <f t="shared" si="136"/>
        <v>0</v>
      </c>
      <c r="U316" s="552">
        <f t="shared" si="136"/>
        <v>0</v>
      </c>
      <c r="V316" s="552">
        <f t="shared" si="136"/>
        <v>0</v>
      </c>
      <c r="W316" s="552">
        <f t="shared" si="136"/>
        <v>0</v>
      </c>
      <c r="X316" s="552">
        <f t="shared" si="136"/>
        <v>5.1795</v>
      </c>
      <c r="Y316" s="552">
        <f>ROUNDUP(SUM(Y317:Y321),0)</f>
        <v>1028824140</v>
      </c>
      <c r="Z316" s="563"/>
      <c r="AA316" s="655"/>
      <c r="AB316" s="13"/>
      <c r="AC316" s="13"/>
      <c r="AD316" s="13"/>
    </row>
    <row r="317" spans="1:30" ht="15">
      <c r="A317" s="4">
        <v>1</v>
      </c>
      <c r="B317" s="654" t="s">
        <v>57</v>
      </c>
      <c r="C317" s="515"/>
      <c r="D317" s="515"/>
      <c r="E317" s="515">
        <f>F317+G317+X317</f>
        <v>9.416</v>
      </c>
      <c r="F317" s="551">
        <v>3.96</v>
      </c>
      <c r="G317" s="515">
        <f>H317+I317+J317+K317+L317+M317+N317+O317+P317+Q317+R317+S317+T317+U317+W317</f>
        <v>4.52</v>
      </c>
      <c r="H317" s="515">
        <v>0.7</v>
      </c>
      <c r="I317" s="515">
        <v>0.2</v>
      </c>
      <c r="J317" s="515"/>
      <c r="K317" s="515">
        <f>(F317+I317)*50%</f>
        <v>2.08</v>
      </c>
      <c r="L317" s="515"/>
      <c r="M317" s="515"/>
      <c r="N317" s="515"/>
      <c r="O317" s="592">
        <f>(F317+I317)*25%</f>
        <v>1.04</v>
      </c>
      <c r="P317" s="515"/>
      <c r="Q317" s="515">
        <v>0.5</v>
      </c>
      <c r="R317" s="515"/>
      <c r="S317" s="551"/>
      <c r="T317" s="515"/>
      <c r="U317" s="515"/>
      <c r="V317" s="515"/>
      <c r="W317" s="515"/>
      <c r="X317" s="515">
        <f>(F317+I317)*22.5%</f>
        <v>0.936</v>
      </c>
      <c r="Y317" s="2">
        <f>E317*1490000*12</f>
        <v>168358080</v>
      </c>
      <c r="Z317" s="2"/>
      <c r="AA317" s="656"/>
      <c r="AB317" s="1"/>
      <c r="AC317" s="1"/>
      <c r="AD317" s="1"/>
    </row>
    <row r="318" spans="1:30" ht="15">
      <c r="A318" s="4">
        <v>2</v>
      </c>
      <c r="B318" s="654" t="s">
        <v>110</v>
      </c>
      <c r="C318" s="515"/>
      <c r="D318" s="515"/>
      <c r="E318" s="515">
        <f>F318+G318+X318</f>
        <v>14.8535</v>
      </c>
      <c r="F318" s="551">
        <v>3.66</v>
      </c>
      <c r="G318" s="515">
        <f>H318+I318+J318+K318+L318+M318+N318+O318+P318+Q318+R318+S318+T318+U318+W318</f>
        <v>9.695</v>
      </c>
      <c r="H318" s="515">
        <v>0.7</v>
      </c>
      <c r="I318" s="515">
        <v>3</v>
      </c>
      <c r="J318" s="515"/>
      <c r="K318" s="515">
        <f>(F318+I318)*50%</f>
        <v>3.33</v>
      </c>
      <c r="L318" s="515"/>
      <c r="M318" s="515"/>
      <c r="N318" s="515"/>
      <c r="O318" s="592">
        <f>(F318+I318)*25%</f>
        <v>1.665</v>
      </c>
      <c r="P318" s="515"/>
      <c r="Q318" s="515">
        <v>1</v>
      </c>
      <c r="R318" s="515"/>
      <c r="S318" s="551"/>
      <c r="T318" s="515"/>
      <c r="U318" s="515"/>
      <c r="V318" s="515"/>
      <c r="W318" s="515"/>
      <c r="X318" s="515">
        <f>(F318+I318)*22.5%</f>
        <v>1.4985000000000002</v>
      </c>
      <c r="Y318" s="2">
        <f>E318*1490000*12</f>
        <v>265580580</v>
      </c>
      <c r="Z318" s="2"/>
      <c r="AA318" s="656"/>
      <c r="AB318" s="1"/>
      <c r="AC318" s="1"/>
      <c r="AD318" s="1"/>
    </row>
    <row r="319" spans="1:30" ht="15">
      <c r="A319" s="4">
        <v>3</v>
      </c>
      <c r="B319" s="646" t="s">
        <v>126</v>
      </c>
      <c r="C319" s="515"/>
      <c r="D319" s="515"/>
      <c r="E319" s="515">
        <f>F319+G319+X319</f>
        <v>10.626999999999999</v>
      </c>
      <c r="F319" s="551">
        <v>4.32</v>
      </c>
      <c r="G319" s="515">
        <f>H319+I319+J319+K319+L319+M319+N319+O319+P319+Q319+R319+S319+T319+U319+W319</f>
        <v>5.29</v>
      </c>
      <c r="H319" s="515">
        <v>0.7</v>
      </c>
      <c r="I319" s="515">
        <v>0.2</v>
      </c>
      <c r="J319" s="515"/>
      <c r="K319" s="515">
        <f>(F319+I319+J319+M319)*0.5</f>
        <v>2.2600000000000002</v>
      </c>
      <c r="L319" s="515"/>
      <c r="M319" s="515"/>
      <c r="N319" s="515"/>
      <c r="O319" s="592">
        <f>(F319+I319)*0.25</f>
        <v>1.1300000000000001</v>
      </c>
      <c r="P319" s="515"/>
      <c r="Q319" s="515">
        <v>1</v>
      </c>
      <c r="R319" s="515"/>
      <c r="S319" s="551"/>
      <c r="T319" s="515"/>
      <c r="U319" s="515"/>
      <c r="V319" s="515"/>
      <c r="W319" s="515"/>
      <c r="X319" s="515">
        <f>(F319+I319)*0.225</f>
        <v>1.0170000000000001</v>
      </c>
      <c r="Y319" s="2">
        <f>E319*1490000*12</f>
        <v>190010759.99999997</v>
      </c>
      <c r="Z319" s="2"/>
      <c r="AA319" s="656"/>
      <c r="AB319" s="1"/>
      <c r="AC319" s="1"/>
      <c r="AD319" s="1"/>
    </row>
    <row r="320" spans="1:30" ht="15">
      <c r="A320" s="4">
        <v>4</v>
      </c>
      <c r="B320" s="3" t="s">
        <v>551</v>
      </c>
      <c r="C320" s="515"/>
      <c r="D320" s="515"/>
      <c r="E320" s="592">
        <f>F320+G320+X320</f>
        <v>13.919</v>
      </c>
      <c r="F320" s="551">
        <f>2*2.34</f>
        <v>4.68</v>
      </c>
      <c r="G320" s="515">
        <f>SUM(H320:W320)</f>
        <v>8.186</v>
      </c>
      <c r="H320" s="515">
        <f>0.7*2</f>
        <v>1.4</v>
      </c>
      <c r="I320" s="515"/>
      <c r="J320" s="515"/>
      <c r="K320" s="515">
        <f>(F320+I320+J320+M320)*0.5</f>
        <v>2.34</v>
      </c>
      <c r="L320" s="515">
        <f>0.7*(F320+I320)</f>
        <v>3.276</v>
      </c>
      <c r="M320" s="515"/>
      <c r="N320" s="515"/>
      <c r="O320" s="592">
        <f>(F320+I320)*0.25</f>
        <v>1.17</v>
      </c>
      <c r="P320" s="515"/>
      <c r="Q320" s="515"/>
      <c r="R320" s="515"/>
      <c r="S320" s="551"/>
      <c r="T320" s="515"/>
      <c r="U320" s="515"/>
      <c r="V320" s="515"/>
      <c r="W320" s="592"/>
      <c r="X320" s="515">
        <f>(F320+I320)*0.225</f>
        <v>1.053</v>
      </c>
      <c r="Y320" s="2">
        <f>E320*1490000*12</f>
        <v>248871720</v>
      </c>
      <c r="Z320" s="2"/>
      <c r="AA320" s="1"/>
      <c r="AB320" s="1"/>
      <c r="AC320" s="1"/>
      <c r="AD320" s="1"/>
    </row>
    <row r="321" spans="1:30" ht="15">
      <c r="A321" s="4">
        <v>5</v>
      </c>
      <c r="B321" s="654" t="s">
        <v>120</v>
      </c>
      <c r="C321" s="515"/>
      <c r="D321" s="515"/>
      <c r="E321" s="515">
        <f>F321+G321+X321</f>
        <v>8.725000000000001</v>
      </c>
      <c r="F321" s="551">
        <v>3</v>
      </c>
      <c r="G321" s="515">
        <f>H321+I321+J321+K321+L321+M321+N321+O321+P321+Q321+R321+S321+T321+U321+W321</f>
        <v>5.05</v>
      </c>
      <c r="H321" s="515">
        <v>0.7</v>
      </c>
      <c r="I321" s="515"/>
      <c r="J321" s="515"/>
      <c r="K321" s="515">
        <f>(F321+I321)*50%</f>
        <v>1.5</v>
      </c>
      <c r="L321" s="515">
        <f>0.7*(F321+I321)</f>
        <v>2.0999999999999996</v>
      </c>
      <c r="M321" s="515"/>
      <c r="N321" s="515"/>
      <c r="O321" s="592">
        <f>(F321+I321)*25%</f>
        <v>0.75</v>
      </c>
      <c r="P321" s="515"/>
      <c r="Q321" s="515"/>
      <c r="R321" s="515"/>
      <c r="S321" s="551"/>
      <c r="T321" s="515"/>
      <c r="U321" s="515"/>
      <c r="V321" s="515"/>
      <c r="W321" s="515"/>
      <c r="X321" s="515">
        <f>(F321+I321)*22.5%</f>
        <v>0.675</v>
      </c>
      <c r="Y321" s="2">
        <f>E321*1490000*12</f>
        <v>156003000.00000003</v>
      </c>
      <c r="Z321" s="2"/>
      <c r="AA321" s="656"/>
      <c r="AB321" s="1"/>
      <c r="AC321" s="1"/>
      <c r="AD321" s="1"/>
    </row>
    <row r="322" spans="1:30" ht="15">
      <c r="A322" s="14" t="s">
        <v>118</v>
      </c>
      <c r="B322" s="10" t="s">
        <v>117</v>
      </c>
      <c r="C322" s="552">
        <v>3</v>
      </c>
      <c r="D322" s="552">
        <v>1</v>
      </c>
      <c r="E322" s="552">
        <f>SUM(E323:E324)</f>
        <v>22.56375</v>
      </c>
      <c r="F322" s="552">
        <f aca="true" t="shared" si="137" ref="F322:X322">SUM(F323:F324)</f>
        <v>7.35</v>
      </c>
      <c r="G322" s="552">
        <f t="shared" si="137"/>
        <v>13.4925</v>
      </c>
      <c r="H322" s="552">
        <f t="shared" si="137"/>
        <v>2.0999999999999996</v>
      </c>
      <c r="I322" s="552">
        <f t="shared" si="137"/>
        <v>0.3</v>
      </c>
      <c r="J322" s="552">
        <f t="shared" si="137"/>
        <v>0</v>
      </c>
      <c r="K322" s="552">
        <f t="shared" si="137"/>
        <v>3.8249999999999997</v>
      </c>
      <c r="L322" s="552">
        <f t="shared" si="137"/>
        <v>5.3549999999999995</v>
      </c>
      <c r="M322" s="552">
        <f t="shared" si="137"/>
        <v>0</v>
      </c>
      <c r="N322" s="552">
        <f t="shared" si="137"/>
        <v>0</v>
      </c>
      <c r="O322" s="552">
        <f t="shared" si="137"/>
        <v>1.9124999999999999</v>
      </c>
      <c r="P322" s="552">
        <f t="shared" si="137"/>
        <v>0</v>
      </c>
      <c r="Q322" s="552">
        <f t="shared" si="137"/>
        <v>0</v>
      </c>
      <c r="R322" s="552">
        <f t="shared" si="137"/>
        <v>0</v>
      </c>
      <c r="S322" s="552">
        <f t="shared" si="137"/>
        <v>0</v>
      </c>
      <c r="T322" s="552">
        <f t="shared" si="137"/>
        <v>0</v>
      </c>
      <c r="U322" s="552">
        <f t="shared" si="137"/>
        <v>0</v>
      </c>
      <c r="V322" s="552">
        <f t="shared" si="137"/>
        <v>0</v>
      </c>
      <c r="W322" s="552">
        <f t="shared" si="137"/>
        <v>0</v>
      </c>
      <c r="X322" s="552">
        <f t="shared" si="137"/>
        <v>1.72125</v>
      </c>
      <c r="Y322" s="552">
        <f>ROUNDUP(SUM(Y323:Y324),-3)</f>
        <v>403440000</v>
      </c>
      <c r="Z322" s="563"/>
      <c r="AA322" s="655"/>
      <c r="AB322" s="13"/>
      <c r="AC322" s="13"/>
      <c r="AD322" s="13"/>
    </row>
    <row r="323" spans="1:30" ht="15">
      <c r="A323" s="4"/>
      <c r="B323" s="654" t="s">
        <v>116</v>
      </c>
      <c r="C323" s="515"/>
      <c r="D323" s="515"/>
      <c r="E323" s="515">
        <f>F323+G323+X323</f>
        <v>8.64475</v>
      </c>
      <c r="F323" s="515">
        <v>2.67</v>
      </c>
      <c r="G323" s="515">
        <f>SUM(H323:W323)</f>
        <v>5.3065</v>
      </c>
      <c r="H323" s="515">
        <v>0.7</v>
      </c>
      <c r="I323" s="515">
        <v>0.3</v>
      </c>
      <c r="J323" s="515"/>
      <c r="K323" s="515">
        <f>(F323+I323)*50%</f>
        <v>1.4849999999999999</v>
      </c>
      <c r="L323" s="515">
        <f>0.7*(F323+I323)</f>
        <v>2.0789999999999997</v>
      </c>
      <c r="M323" s="515"/>
      <c r="N323" s="515"/>
      <c r="O323" s="515">
        <f>(F323+I323)*25%</f>
        <v>0.7424999999999999</v>
      </c>
      <c r="P323" s="515"/>
      <c r="Q323" s="515"/>
      <c r="R323" s="515"/>
      <c r="S323" s="515"/>
      <c r="T323" s="515"/>
      <c r="U323" s="515"/>
      <c r="V323" s="515"/>
      <c r="W323" s="515"/>
      <c r="X323" s="515">
        <f>(F323+I323)*22.5%</f>
        <v>0.66825</v>
      </c>
      <c r="Y323" s="515">
        <f>E323*1490000*12</f>
        <v>154568130</v>
      </c>
      <c r="Z323" s="515"/>
      <c r="AA323" s="656"/>
      <c r="AB323" s="1"/>
      <c r="AC323" s="1"/>
      <c r="AD323" s="1"/>
    </row>
    <row r="324" spans="1:30" ht="15">
      <c r="A324" s="14">
        <v>3</v>
      </c>
      <c r="B324" s="3" t="s">
        <v>551</v>
      </c>
      <c r="C324" s="515"/>
      <c r="D324" s="515"/>
      <c r="E324" s="592">
        <f>F324+G324+X324</f>
        <v>13.919</v>
      </c>
      <c r="F324" s="551">
        <f>2*2.34</f>
        <v>4.68</v>
      </c>
      <c r="G324" s="515">
        <f>SUM(H324:W324)</f>
        <v>8.186</v>
      </c>
      <c r="H324" s="515">
        <f>0.7*2</f>
        <v>1.4</v>
      </c>
      <c r="I324" s="515"/>
      <c r="J324" s="515"/>
      <c r="K324" s="515">
        <f>(F324+I324)*50%</f>
        <v>2.34</v>
      </c>
      <c r="L324" s="515">
        <f>0.7*(F324+I324)</f>
        <v>3.276</v>
      </c>
      <c r="M324" s="515"/>
      <c r="N324" s="515"/>
      <c r="O324" s="515">
        <f>(F324+I324)*25%</f>
        <v>1.17</v>
      </c>
      <c r="P324" s="515"/>
      <c r="Q324" s="515"/>
      <c r="R324" s="515"/>
      <c r="S324" s="551"/>
      <c r="T324" s="515"/>
      <c r="U324" s="515"/>
      <c r="V324" s="515"/>
      <c r="W324" s="592"/>
      <c r="X324" s="515">
        <f>(F324+I324)*0.225</f>
        <v>1.053</v>
      </c>
      <c r="Y324" s="2">
        <f>E324*1490000*12</f>
        <v>248871720</v>
      </c>
      <c r="Z324" s="2"/>
      <c r="AA324" s="1"/>
      <c r="AB324" s="1"/>
      <c r="AC324" s="1"/>
      <c r="AD324" s="1"/>
    </row>
    <row r="325" spans="1:30" ht="15">
      <c r="A325" s="14" t="s">
        <v>115</v>
      </c>
      <c r="B325" s="596" t="s">
        <v>114</v>
      </c>
      <c r="C325" s="552">
        <f aca="true" t="shared" si="138" ref="C325:U325">C326+C363</f>
        <v>48</v>
      </c>
      <c r="D325" s="552">
        <f t="shared" si="138"/>
        <v>39</v>
      </c>
      <c r="E325" s="552">
        <f t="shared" si="138"/>
        <v>500.3629000000001</v>
      </c>
      <c r="F325" s="552">
        <f t="shared" si="138"/>
        <v>151.32000000000002</v>
      </c>
      <c r="G325" s="552">
        <f t="shared" si="138"/>
        <v>312.9754999999999</v>
      </c>
      <c r="H325" s="552">
        <f t="shared" si="138"/>
        <v>30.79999999999999</v>
      </c>
      <c r="I325" s="552">
        <f t="shared" si="138"/>
        <v>7.950000000000001</v>
      </c>
      <c r="J325" s="552">
        <f t="shared" si="138"/>
        <v>0</v>
      </c>
      <c r="K325" s="552">
        <f t="shared" si="138"/>
        <v>79.63500000000002</v>
      </c>
      <c r="L325" s="552">
        <f t="shared" si="138"/>
        <v>95.66899999999998</v>
      </c>
      <c r="M325" s="552">
        <f t="shared" si="138"/>
        <v>0.8029999999999999</v>
      </c>
      <c r="N325" s="552">
        <f t="shared" si="138"/>
        <v>0</v>
      </c>
      <c r="O325" s="552">
        <f t="shared" si="138"/>
        <v>39.81750000000001</v>
      </c>
      <c r="P325" s="552">
        <f t="shared" si="138"/>
        <v>0</v>
      </c>
      <c r="Q325" s="552">
        <f t="shared" si="138"/>
        <v>3.9</v>
      </c>
      <c r="R325" s="552">
        <f t="shared" si="138"/>
        <v>0</v>
      </c>
      <c r="S325" s="552">
        <f t="shared" si="138"/>
        <v>0</v>
      </c>
      <c r="T325" s="552">
        <f t="shared" si="138"/>
        <v>47.78099999999999</v>
      </c>
      <c r="U325" s="552">
        <f t="shared" si="138"/>
        <v>0.25</v>
      </c>
      <c r="V325" s="552"/>
      <c r="W325" s="552">
        <f>W326+W363</f>
        <v>4.5</v>
      </c>
      <c r="X325" s="552">
        <f>X326+X363</f>
        <v>36.0674</v>
      </c>
      <c r="Y325" s="563">
        <f>Y326+Y363</f>
        <v>8946489072</v>
      </c>
      <c r="Z325" s="563"/>
      <c r="AA325" s="13"/>
      <c r="AB325" s="13"/>
      <c r="AC325" s="13"/>
      <c r="AD325" s="13"/>
    </row>
    <row r="326" spans="1:30" ht="15">
      <c r="A326" s="14" t="s">
        <v>113</v>
      </c>
      <c r="B326" s="596" t="s">
        <v>112</v>
      </c>
      <c r="C326" s="552">
        <v>36</v>
      </c>
      <c r="D326" s="552">
        <v>29</v>
      </c>
      <c r="E326" s="589">
        <f aca="true" t="shared" si="139" ref="E326:Y326">+E327+E358</f>
        <v>372.7035000000001</v>
      </c>
      <c r="F326" s="589">
        <f t="shared" si="139"/>
        <v>111.81000000000003</v>
      </c>
      <c r="G326" s="589">
        <f t="shared" si="139"/>
        <v>234.37049999999994</v>
      </c>
      <c r="H326" s="589">
        <f t="shared" si="139"/>
        <v>22.39999999999999</v>
      </c>
      <c r="I326" s="589">
        <f t="shared" si="139"/>
        <v>5.500000000000001</v>
      </c>
      <c r="J326" s="589">
        <f t="shared" si="139"/>
        <v>0</v>
      </c>
      <c r="K326" s="589">
        <f t="shared" si="139"/>
        <v>58.655000000000015</v>
      </c>
      <c r="L326" s="589">
        <f t="shared" si="139"/>
        <v>74.50799999999998</v>
      </c>
      <c r="M326" s="589">
        <f t="shared" si="139"/>
        <v>0.8029999999999999</v>
      </c>
      <c r="N326" s="589">
        <f t="shared" si="139"/>
        <v>0</v>
      </c>
      <c r="O326" s="589">
        <f t="shared" si="139"/>
        <v>29.327500000000008</v>
      </c>
      <c r="P326" s="589">
        <f t="shared" si="139"/>
        <v>0</v>
      </c>
      <c r="Q326" s="589">
        <f t="shared" si="139"/>
        <v>2</v>
      </c>
      <c r="R326" s="589">
        <f t="shared" si="139"/>
        <v>0</v>
      </c>
      <c r="S326" s="589">
        <f t="shared" si="139"/>
        <v>0</v>
      </c>
      <c r="T326" s="589">
        <f t="shared" si="139"/>
        <v>35.19299999999999</v>
      </c>
      <c r="U326" s="589">
        <f t="shared" si="139"/>
        <v>0.25</v>
      </c>
      <c r="V326" s="589">
        <f t="shared" si="139"/>
        <v>1.234</v>
      </c>
      <c r="W326" s="589">
        <f t="shared" si="139"/>
        <v>4.5</v>
      </c>
      <c r="X326" s="589">
        <f t="shared" si="139"/>
        <v>26.523</v>
      </c>
      <c r="Y326" s="589">
        <f t="shared" si="139"/>
        <v>6663939000</v>
      </c>
      <c r="Z326" s="563"/>
      <c r="AA326" s="13"/>
      <c r="AB326" s="13"/>
      <c r="AC326" s="13"/>
      <c r="AD326" s="13"/>
    </row>
    <row r="327" spans="1:30" ht="15">
      <c r="A327" s="14" t="s">
        <v>88</v>
      </c>
      <c r="B327" s="596" t="s">
        <v>75</v>
      </c>
      <c r="C327" s="552"/>
      <c r="D327" s="552"/>
      <c r="E327" s="657">
        <f>SUM(E328:E357)</f>
        <v>372.7035000000001</v>
      </c>
      <c r="F327" s="589">
        <f aca="true" t="shared" si="140" ref="F327:X327">SUM(F328:F357)</f>
        <v>111.81000000000003</v>
      </c>
      <c r="G327" s="589">
        <f t="shared" si="140"/>
        <v>234.37049999999994</v>
      </c>
      <c r="H327" s="589">
        <f t="shared" si="140"/>
        <v>22.39999999999999</v>
      </c>
      <c r="I327" s="589">
        <f t="shared" si="140"/>
        <v>5.500000000000001</v>
      </c>
      <c r="J327" s="589">
        <f t="shared" si="140"/>
        <v>0</v>
      </c>
      <c r="K327" s="589">
        <f t="shared" si="140"/>
        <v>58.655000000000015</v>
      </c>
      <c r="L327" s="589">
        <f t="shared" si="140"/>
        <v>74.50799999999998</v>
      </c>
      <c r="M327" s="589">
        <f t="shared" si="140"/>
        <v>0.8029999999999999</v>
      </c>
      <c r="N327" s="589">
        <f t="shared" si="140"/>
        <v>0</v>
      </c>
      <c r="O327" s="589">
        <f t="shared" si="140"/>
        <v>29.327500000000008</v>
      </c>
      <c r="P327" s="589">
        <f t="shared" si="140"/>
        <v>0</v>
      </c>
      <c r="Q327" s="589">
        <f t="shared" si="140"/>
        <v>2</v>
      </c>
      <c r="R327" s="589">
        <f t="shared" si="140"/>
        <v>0</v>
      </c>
      <c r="S327" s="589">
        <f t="shared" si="140"/>
        <v>0</v>
      </c>
      <c r="T327" s="589">
        <f t="shared" si="140"/>
        <v>35.19299999999999</v>
      </c>
      <c r="U327" s="589">
        <f t="shared" si="140"/>
        <v>0.25</v>
      </c>
      <c r="V327" s="589">
        <f t="shared" si="140"/>
        <v>1.234</v>
      </c>
      <c r="W327" s="589">
        <f t="shared" si="140"/>
        <v>4.5</v>
      </c>
      <c r="X327" s="589">
        <f t="shared" si="140"/>
        <v>26.523</v>
      </c>
      <c r="Y327" s="589">
        <f>ROUNDUP(SUM(Y328:Y357),-3)</f>
        <v>6663939000</v>
      </c>
      <c r="Z327" s="563"/>
      <c r="AA327" s="658">
        <f>+V328</f>
        <v>0.554</v>
      </c>
      <c r="AB327" s="13"/>
      <c r="AC327" s="13"/>
      <c r="AD327" s="13"/>
    </row>
    <row r="328" spans="1:30" ht="15">
      <c r="A328" s="9">
        <v>1</v>
      </c>
      <c r="B328" s="659" t="s">
        <v>111</v>
      </c>
      <c r="C328" s="517"/>
      <c r="D328" s="517"/>
      <c r="E328" s="515">
        <f>F328+G328+X328</f>
        <v>17.885500000000004</v>
      </c>
      <c r="F328" s="660">
        <v>4.74</v>
      </c>
      <c r="G328" s="515">
        <f>SUM(H328:W328)</f>
        <v>11.899000000000001</v>
      </c>
      <c r="H328" s="515">
        <v>0.7</v>
      </c>
      <c r="I328" s="505">
        <v>0.8</v>
      </c>
      <c r="J328" s="515"/>
      <c r="K328" s="515">
        <f>(F328+I328+J328)*50%</f>
        <v>2.77</v>
      </c>
      <c r="L328" s="515">
        <f>0.7*(F328+I328+J328)</f>
        <v>3.8779999999999997</v>
      </c>
      <c r="M328" s="515"/>
      <c r="N328" s="515"/>
      <c r="O328" s="651">
        <f>(F328+I328+J328)*25%</f>
        <v>1.385</v>
      </c>
      <c r="P328" s="515"/>
      <c r="Q328" s="515"/>
      <c r="R328" s="515"/>
      <c r="S328" s="551"/>
      <c r="T328" s="515">
        <f>(F328+I328+J328)*30%</f>
        <v>1.662</v>
      </c>
      <c r="U328" s="515"/>
      <c r="V328" s="515">
        <f>0.1*(F328+I328)</f>
        <v>0.554</v>
      </c>
      <c r="W328" s="515">
        <v>0.15</v>
      </c>
      <c r="X328" s="515">
        <f>(F328+I328+J328)*22.5%</f>
        <v>1.2465</v>
      </c>
      <c r="Y328" s="2">
        <f>E328*1490000*12</f>
        <v>319792740.0000001</v>
      </c>
      <c r="Z328" s="2"/>
      <c r="AA328" s="5">
        <f>4.74+0.8+0.7+3.878+2.77+1.662+0.15+1.385+2.216</f>
        <v>18.301000000000002</v>
      </c>
      <c r="AB328" s="5"/>
      <c r="AC328" s="5"/>
      <c r="AD328" s="5"/>
    </row>
    <row r="329" spans="1:30" ht="15">
      <c r="A329" s="9">
        <v>2</v>
      </c>
      <c r="B329" s="659" t="s">
        <v>36</v>
      </c>
      <c r="C329" s="517"/>
      <c r="D329" s="517"/>
      <c r="E329" s="515">
        <f aca="true" t="shared" si="141" ref="E329:E356">F329+G329+X329</f>
        <v>12.839250000000002</v>
      </c>
      <c r="F329" s="660">
        <v>3.33</v>
      </c>
      <c r="G329" s="515">
        <f aca="true" t="shared" si="142" ref="G329:G350">SUM(H329:W329)</f>
        <v>8.602500000000001</v>
      </c>
      <c r="H329" s="515">
        <v>0.7</v>
      </c>
      <c r="I329" s="505">
        <v>0.7</v>
      </c>
      <c r="J329" s="515"/>
      <c r="K329" s="515">
        <f aca="true" t="shared" si="143" ref="K329:K350">(F329+I329+J329)*50%</f>
        <v>2.015</v>
      </c>
      <c r="L329" s="515">
        <f aca="true" t="shared" si="144" ref="L329:L356">0.7*(F329+I329+J329)</f>
        <v>2.821</v>
      </c>
      <c r="M329" s="515"/>
      <c r="N329" s="515"/>
      <c r="O329" s="651">
        <f aca="true" t="shared" si="145" ref="O329:O350">(F329+I329+J329)*25%</f>
        <v>1.0075</v>
      </c>
      <c r="P329" s="515"/>
      <c r="Q329" s="515"/>
      <c r="R329" s="515"/>
      <c r="S329" s="551"/>
      <c r="T329" s="515">
        <f aca="true" t="shared" si="146" ref="T329:T357">(F329+I329+J329)*30%</f>
        <v>1.209</v>
      </c>
      <c r="U329" s="515"/>
      <c r="V329" s="515"/>
      <c r="W329" s="515">
        <v>0.15</v>
      </c>
      <c r="X329" s="515">
        <f aca="true" t="shared" si="147" ref="X329:X350">(F329+I329+J329)*22.5%</f>
        <v>0.9067500000000001</v>
      </c>
      <c r="Y329" s="2">
        <f aca="true" t="shared" si="148" ref="Y329:Y356">E329*1490000*12</f>
        <v>229565790.00000006</v>
      </c>
      <c r="Z329" s="2"/>
      <c r="AA329" s="5">
        <f>+V328*4</f>
        <v>2.216</v>
      </c>
      <c r="AB329" s="5"/>
      <c r="AC329" s="5"/>
      <c r="AD329" s="5"/>
    </row>
    <row r="330" spans="1:30" ht="15">
      <c r="A330" s="9">
        <v>3</v>
      </c>
      <c r="B330" s="659" t="s">
        <v>39</v>
      </c>
      <c r="C330" s="517"/>
      <c r="D330" s="517"/>
      <c r="E330" s="515">
        <f t="shared" si="141"/>
        <v>20.469249999999995</v>
      </c>
      <c r="F330" s="660">
        <v>5.76</v>
      </c>
      <c r="G330" s="515">
        <f>SUM(H330:W330)</f>
        <v>13.149999999999999</v>
      </c>
      <c r="H330" s="515">
        <v>0.7</v>
      </c>
      <c r="I330" s="505">
        <v>0.6</v>
      </c>
      <c r="J330" s="515"/>
      <c r="K330" s="515">
        <f t="shared" si="143"/>
        <v>3.1799999999999997</v>
      </c>
      <c r="L330" s="515">
        <f t="shared" si="144"/>
        <v>4.451999999999999</v>
      </c>
      <c r="M330" s="515">
        <v>0.57</v>
      </c>
      <c r="N330" s="515"/>
      <c r="O330" s="651">
        <f t="shared" si="145"/>
        <v>1.5899999999999999</v>
      </c>
      <c r="P330" s="515"/>
      <c r="Q330" s="515"/>
      <c r="R330" s="515"/>
      <c r="S330" s="551"/>
      <c r="T330" s="515">
        <f t="shared" si="146"/>
        <v>1.9079999999999997</v>
      </c>
      <c r="U330" s="515"/>
      <c r="V330" s="515"/>
      <c r="W330" s="515">
        <v>0.15</v>
      </c>
      <c r="X330" s="515">
        <f>(F330+I330+J330+M330)*22.5%</f>
        <v>1.55925</v>
      </c>
      <c r="Y330" s="2">
        <f t="shared" si="148"/>
        <v>365990189.9999999</v>
      </c>
      <c r="Z330" s="2"/>
      <c r="AA330" s="5" t="s">
        <v>554</v>
      </c>
      <c r="AB330" s="5"/>
      <c r="AC330" s="5"/>
      <c r="AD330" s="5"/>
    </row>
    <row r="331" spans="1:30" ht="15">
      <c r="A331" s="9">
        <v>4</v>
      </c>
      <c r="B331" s="659" t="s">
        <v>61</v>
      </c>
      <c r="C331" s="517"/>
      <c r="D331" s="517"/>
      <c r="E331" s="515">
        <f t="shared" si="141"/>
        <v>11.678999999999998</v>
      </c>
      <c r="F331" s="660">
        <v>3.34</v>
      </c>
      <c r="G331" s="515">
        <f t="shared" si="142"/>
        <v>7.52</v>
      </c>
      <c r="H331" s="515">
        <v>0.7</v>
      </c>
      <c r="I331" s="505">
        <v>0.3</v>
      </c>
      <c r="J331" s="515"/>
      <c r="K331" s="515">
        <f t="shared" si="143"/>
        <v>1.8199999999999998</v>
      </c>
      <c r="L331" s="515">
        <f t="shared" si="144"/>
        <v>2.5479999999999996</v>
      </c>
      <c r="M331" s="515"/>
      <c r="N331" s="515"/>
      <c r="O331" s="651">
        <f t="shared" si="145"/>
        <v>0.9099999999999999</v>
      </c>
      <c r="P331" s="515"/>
      <c r="Q331" s="515"/>
      <c r="R331" s="515"/>
      <c r="S331" s="551"/>
      <c r="T331" s="515">
        <f t="shared" si="146"/>
        <v>1.0919999999999999</v>
      </c>
      <c r="U331" s="515"/>
      <c r="V331" s="515"/>
      <c r="W331" s="515">
        <v>0.15</v>
      </c>
      <c r="X331" s="515">
        <f t="shared" si="147"/>
        <v>0.819</v>
      </c>
      <c r="Y331" s="2">
        <f t="shared" si="148"/>
        <v>208820519.99999994</v>
      </c>
      <c r="Z331" s="2"/>
      <c r="AA331" s="5"/>
      <c r="AB331" s="5"/>
      <c r="AC331" s="5"/>
      <c r="AD331" s="5"/>
    </row>
    <row r="332" spans="1:30" ht="15">
      <c r="A332" s="9">
        <v>5</v>
      </c>
      <c r="B332" s="659" t="s">
        <v>19</v>
      </c>
      <c r="C332" s="517"/>
      <c r="D332" s="517"/>
      <c r="E332" s="515">
        <f t="shared" si="141"/>
        <v>14.683750000000002</v>
      </c>
      <c r="F332" s="660">
        <v>4.4</v>
      </c>
      <c r="G332" s="515">
        <f>SUM(H332:W332)</f>
        <v>9.2375</v>
      </c>
      <c r="H332" s="515">
        <v>0.7</v>
      </c>
      <c r="I332" s="505">
        <v>0.25</v>
      </c>
      <c r="J332" s="515"/>
      <c r="K332" s="515">
        <f>(F332+I332+J332)*50%</f>
        <v>2.325</v>
      </c>
      <c r="L332" s="515">
        <f t="shared" si="144"/>
        <v>3.255</v>
      </c>
      <c r="M332" s="515"/>
      <c r="N332" s="515"/>
      <c r="O332" s="651">
        <f>(F332+I332+J332)*25%</f>
        <v>1.1625</v>
      </c>
      <c r="P332" s="515"/>
      <c r="Q332" s="515"/>
      <c r="R332" s="515"/>
      <c r="S332" s="551"/>
      <c r="T332" s="515">
        <f>(F332+I332+J332)*30%</f>
        <v>1.395</v>
      </c>
      <c r="U332" s="515"/>
      <c r="V332" s="515"/>
      <c r="W332" s="515">
        <v>0.15</v>
      </c>
      <c r="X332" s="515">
        <f>(F332+I332+J332)*22.5%</f>
        <v>1.0462500000000001</v>
      </c>
      <c r="Y332" s="2">
        <f>E332*1490000*12</f>
        <v>262545450.00000006</v>
      </c>
      <c r="Z332" s="2"/>
      <c r="AA332" s="5"/>
      <c r="AB332" s="5"/>
      <c r="AC332" s="5"/>
      <c r="AD332" s="5"/>
    </row>
    <row r="333" spans="1:30" ht="15">
      <c r="A333" s="9">
        <v>6</v>
      </c>
      <c r="B333" s="659" t="s">
        <v>109</v>
      </c>
      <c r="C333" s="517"/>
      <c r="D333" s="517"/>
      <c r="E333" s="515">
        <f t="shared" si="141"/>
        <v>7.0975</v>
      </c>
      <c r="F333" s="660">
        <v>2.1</v>
      </c>
      <c r="G333" s="515">
        <f t="shared" si="142"/>
        <v>4.525</v>
      </c>
      <c r="H333" s="515">
        <v>0.7</v>
      </c>
      <c r="I333" s="505"/>
      <c r="J333" s="515"/>
      <c r="K333" s="515">
        <f t="shared" si="143"/>
        <v>1.05</v>
      </c>
      <c r="L333" s="515">
        <f t="shared" si="144"/>
        <v>1.47</v>
      </c>
      <c r="M333" s="515"/>
      <c r="N333" s="515"/>
      <c r="O333" s="651">
        <f t="shared" si="145"/>
        <v>0.525</v>
      </c>
      <c r="P333" s="515"/>
      <c r="Q333" s="515"/>
      <c r="R333" s="515"/>
      <c r="S333" s="551"/>
      <c r="T333" s="515">
        <f t="shared" si="146"/>
        <v>0.63</v>
      </c>
      <c r="U333" s="515"/>
      <c r="V333" s="515"/>
      <c r="W333" s="515">
        <v>0.15</v>
      </c>
      <c r="X333" s="515">
        <f t="shared" si="147"/>
        <v>0.47250000000000003</v>
      </c>
      <c r="Y333" s="2">
        <f t="shared" si="148"/>
        <v>126903300</v>
      </c>
      <c r="Z333" s="2"/>
      <c r="AA333" s="5"/>
      <c r="AB333" s="5"/>
      <c r="AC333" s="5"/>
      <c r="AD333" s="5"/>
    </row>
    <row r="334" spans="1:30" ht="15">
      <c r="A334" s="9">
        <v>7</v>
      </c>
      <c r="B334" s="659" t="s">
        <v>108</v>
      </c>
      <c r="C334" s="517"/>
      <c r="D334" s="517"/>
      <c r="E334" s="515">
        <f t="shared" si="141"/>
        <v>14.91675</v>
      </c>
      <c r="F334" s="660">
        <v>4.65</v>
      </c>
      <c r="G334" s="515">
        <f>SUM(H334:W334)</f>
        <v>9.2205</v>
      </c>
      <c r="H334" s="515">
        <v>0.7</v>
      </c>
      <c r="I334" s="505"/>
      <c r="J334" s="515"/>
      <c r="K334" s="515">
        <f>(F334+I334+J334)*50%</f>
        <v>2.325</v>
      </c>
      <c r="L334" s="515">
        <f t="shared" si="144"/>
        <v>3.255</v>
      </c>
      <c r="M334" s="515">
        <v>0.233</v>
      </c>
      <c r="N334" s="515"/>
      <c r="O334" s="651">
        <f>(F334+I334+J334)*25%</f>
        <v>1.1625</v>
      </c>
      <c r="P334" s="515"/>
      <c r="Q334" s="515"/>
      <c r="R334" s="515"/>
      <c r="S334" s="551"/>
      <c r="T334" s="515">
        <f>(F334+I334+J334)*30%</f>
        <v>1.395</v>
      </c>
      <c r="U334" s="515"/>
      <c r="V334" s="515"/>
      <c r="W334" s="515">
        <v>0.15</v>
      </c>
      <c r="X334" s="515">
        <f>(F334+I334+J334)*22.5%</f>
        <v>1.0462500000000001</v>
      </c>
      <c r="Y334" s="2">
        <f>E334*1490000*12</f>
        <v>266711490</v>
      </c>
      <c r="Z334" s="2"/>
      <c r="AA334" s="5"/>
      <c r="AB334" s="5"/>
      <c r="AC334" s="5"/>
      <c r="AD334" s="5"/>
    </row>
    <row r="335" spans="1:30" ht="15">
      <c r="A335" s="9">
        <v>8</v>
      </c>
      <c r="B335" s="659" t="s">
        <v>107</v>
      </c>
      <c r="C335" s="517"/>
      <c r="D335" s="517"/>
      <c r="E335" s="515">
        <f t="shared" si="141"/>
        <v>8.7635</v>
      </c>
      <c r="F335" s="660">
        <v>2.66</v>
      </c>
      <c r="G335" s="515">
        <f>SUM(H335:W335)</f>
        <v>5.505000000000001</v>
      </c>
      <c r="H335" s="515">
        <v>0.7</v>
      </c>
      <c r="I335" s="505"/>
      <c r="J335" s="515"/>
      <c r="K335" s="515">
        <f>(F335+I335+J335)*50%</f>
        <v>1.33</v>
      </c>
      <c r="L335" s="515">
        <f t="shared" si="144"/>
        <v>1.8619999999999999</v>
      </c>
      <c r="M335" s="515"/>
      <c r="N335" s="515"/>
      <c r="O335" s="651">
        <f>(F335+I335+J335)*25%</f>
        <v>0.665</v>
      </c>
      <c r="P335" s="515"/>
      <c r="Q335" s="515"/>
      <c r="R335" s="515"/>
      <c r="S335" s="551"/>
      <c r="T335" s="515">
        <f>(F335+I335+J335)*30%</f>
        <v>0.798</v>
      </c>
      <c r="U335" s="515"/>
      <c r="V335" s="515"/>
      <c r="W335" s="515">
        <v>0.15</v>
      </c>
      <c r="X335" s="515">
        <f>(F335+I335+J335)*22.5%</f>
        <v>0.5985</v>
      </c>
      <c r="Y335" s="2">
        <f>E335*1490000*12</f>
        <v>156691380</v>
      </c>
      <c r="Z335" s="2"/>
      <c r="AA335" s="5"/>
      <c r="AB335" s="5"/>
      <c r="AC335" s="5"/>
      <c r="AD335" s="5"/>
    </row>
    <row r="336" spans="1:30" ht="15">
      <c r="A336" s="9">
        <v>9</v>
      </c>
      <c r="B336" s="659" t="s">
        <v>38</v>
      </c>
      <c r="C336" s="517"/>
      <c r="D336" s="517"/>
      <c r="E336" s="515">
        <f t="shared" si="141"/>
        <v>17.747999999999998</v>
      </c>
      <c r="F336" s="660">
        <v>5.08</v>
      </c>
      <c r="G336" s="515">
        <f t="shared" si="142"/>
        <v>11.39</v>
      </c>
      <c r="H336" s="515">
        <v>0.7</v>
      </c>
      <c r="I336" s="505">
        <v>0.6</v>
      </c>
      <c r="J336" s="515"/>
      <c r="K336" s="515">
        <f t="shared" si="143"/>
        <v>2.84</v>
      </c>
      <c r="L336" s="515">
        <f t="shared" si="144"/>
        <v>3.9759999999999995</v>
      </c>
      <c r="M336" s="515"/>
      <c r="N336" s="515"/>
      <c r="O336" s="651">
        <f t="shared" si="145"/>
        <v>1.42</v>
      </c>
      <c r="P336" s="515"/>
      <c r="Q336" s="515"/>
      <c r="R336" s="515"/>
      <c r="S336" s="551"/>
      <c r="T336" s="515">
        <f t="shared" si="146"/>
        <v>1.704</v>
      </c>
      <c r="U336" s="515"/>
      <c r="V336" s="515"/>
      <c r="W336" s="515">
        <v>0.15</v>
      </c>
      <c r="X336" s="515">
        <f t="shared" si="147"/>
        <v>1.278</v>
      </c>
      <c r="Y336" s="2">
        <f t="shared" si="148"/>
        <v>317334239.99999994</v>
      </c>
      <c r="Z336" s="2"/>
      <c r="AA336" s="5"/>
      <c r="AB336" s="5"/>
      <c r="AC336" s="5"/>
      <c r="AD336" s="5"/>
    </row>
    <row r="337" spans="1:30" ht="15">
      <c r="A337" s="9">
        <v>10</v>
      </c>
      <c r="B337" s="659" t="s">
        <v>27</v>
      </c>
      <c r="C337" s="517"/>
      <c r="D337" s="517"/>
      <c r="E337" s="515">
        <f t="shared" si="141"/>
        <v>13.225999999999999</v>
      </c>
      <c r="F337" s="660">
        <v>3.96</v>
      </c>
      <c r="G337" s="515">
        <f t="shared" si="142"/>
        <v>8.33</v>
      </c>
      <c r="H337" s="515">
        <v>0.7</v>
      </c>
      <c r="I337" s="505">
        <v>0.2</v>
      </c>
      <c r="J337" s="515"/>
      <c r="K337" s="515">
        <f t="shared" si="143"/>
        <v>2.08</v>
      </c>
      <c r="L337" s="515">
        <f t="shared" si="144"/>
        <v>2.912</v>
      </c>
      <c r="M337" s="515"/>
      <c r="N337" s="515"/>
      <c r="O337" s="651">
        <f t="shared" si="145"/>
        <v>1.04</v>
      </c>
      <c r="P337" s="515"/>
      <c r="Q337" s="515"/>
      <c r="R337" s="515"/>
      <c r="S337" s="551"/>
      <c r="T337" s="515">
        <f t="shared" si="146"/>
        <v>1.248</v>
      </c>
      <c r="U337" s="515"/>
      <c r="V337" s="515"/>
      <c r="W337" s="515">
        <v>0.15</v>
      </c>
      <c r="X337" s="515">
        <f t="shared" si="147"/>
        <v>0.936</v>
      </c>
      <c r="Y337" s="2">
        <f t="shared" si="148"/>
        <v>236480880</v>
      </c>
      <c r="Z337" s="2"/>
      <c r="AA337" s="5"/>
      <c r="AB337" s="5"/>
      <c r="AC337" s="5"/>
      <c r="AD337" s="5"/>
    </row>
    <row r="338" spans="1:30" ht="15">
      <c r="A338" s="9">
        <v>11</v>
      </c>
      <c r="B338" s="659" t="s">
        <v>105</v>
      </c>
      <c r="C338" s="517"/>
      <c r="D338" s="517"/>
      <c r="E338" s="515">
        <f t="shared" si="141"/>
        <v>13.315250000000002</v>
      </c>
      <c r="F338" s="660">
        <v>3.99</v>
      </c>
      <c r="G338" s="515">
        <f>SUM(H338:W338)</f>
        <v>8.382500000000002</v>
      </c>
      <c r="H338" s="515">
        <v>0.7</v>
      </c>
      <c r="I338" s="505">
        <v>0.2</v>
      </c>
      <c r="J338" s="515"/>
      <c r="K338" s="515">
        <f>(F338+I338+J338)*50%</f>
        <v>2.095</v>
      </c>
      <c r="L338" s="515">
        <f t="shared" si="144"/>
        <v>2.9330000000000003</v>
      </c>
      <c r="M338" s="515"/>
      <c r="N338" s="515"/>
      <c r="O338" s="651">
        <f>(F338+I338+J338)*25%</f>
        <v>1.0475</v>
      </c>
      <c r="P338" s="515"/>
      <c r="Q338" s="515"/>
      <c r="R338" s="515"/>
      <c r="S338" s="551"/>
      <c r="T338" s="515">
        <f>(F338+I338+J338)*30%</f>
        <v>1.2570000000000001</v>
      </c>
      <c r="U338" s="515"/>
      <c r="V338" s="515"/>
      <c r="W338" s="515">
        <v>0.15</v>
      </c>
      <c r="X338" s="515">
        <f>(F338+I338+J338)*22.5%</f>
        <v>0.9427500000000001</v>
      </c>
      <c r="Y338" s="2">
        <f>E338*1490000*12</f>
        <v>238076670.00000006</v>
      </c>
      <c r="Z338" s="2"/>
      <c r="AA338" s="5"/>
      <c r="AB338" s="5"/>
      <c r="AC338" s="5"/>
      <c r="AD338" s="5"/>
    </row>
    <row r="339" spans="1:30" ht="15">
      <c r="A339" s="9">
        <v>12</v>
      </c>
      <c r="B339" s="659" t="s">
        <v>28</v>
      </c>
      <c r="C339" s="517"/>
      <c r="D339" s="517"/>
      <c r="E339" s="515">
        <f t="shared" si="141"/>
        <v>13.464000000000002</v>
      </c>
      <c r="F339" s="660">
        <v>3.99</v>
      </c>
      <c r="G339" s="515">
        <f t="shared" si="142"/>
        <v>8.520000000000001</v>
      </c>
      <c r="H339" s="515">
        <v>0.7</v>
      </c>
      <c r="I339" s="505">
        <v>0.25</v>
      </c>
      <c r="J339" s="515"/>
      <c r="K339" s="515">
        <f t="shared" si="143"/>
        <v>2.12</v>
      </c>
      <c r="L339" s="515">
        <f t="shared" si="144"/>
        <v>2.968</v>
      </c>
      <c r="M339" s="515"/>
      <c r="N339" s="515"/>
      <c r="O339" s="651">
        <f t="shared" si="145"/>
        <v>1.06</v>
      </c>
      <c r="P339" s="515"/>
      <c r="Q339" s="515"/>
      <c r="R339" s="515"/>
      <c r="S339" s="551"/>
      <c r="T339" s="515">
        <f t="shared" si="146"/>
        <v>1.272</v>
      </c>
      <c r="U339" s="515"/>
      <c r="V339" s="515"/>
      <c r="W339" s="515">
        <v>0.15</v>
      </c>
      <c r="X339" s="515">
        <f t="shared" si="147"/>
        <v>0.9540000000000001</v>
      </c>
      <c r="Y339" s="2">
        <f t="shared" si="148"/>
        <v>240736320.00000006</v>
      </c>
      <c r="Z339" s="2"/>
      <c r="AA339" s="5"/>
      <c r="AB339" s="5"/>
      <c r="AC339" s="5"/>
      <c r="AD339" s="5"/>
    </row>
    <row r="340" spans="1:30" ht="15">
      <c r="A340" s="9">
        <v>13</v>
      </c>
      <c r="B340" s="659" t="s">
        <v>26</v>
      </c>
      <c r="C340" s="517"/>
      <c r="D340" s="517"/>
      <c r="E340" s="515">
        <f t="shared" si="141"/>
        <v>12.934750000000001</v>
      </c>
      <c r="F340" s="660">
        <v>3.33</v>
      </c>
      <c r="G340" s="515">
        <f>SUM(H340:W340)</f>
        <v>8.720500000000001</v>
      </c>
      <c r="H340" s="515">
        <v>0.7</v>
      </c>
      <c r="I340" s="505">
        <v>0.6</v>
      </c>
      <c r="J340" s="515"/>
      <c r="K340" s="515">
        <f>(F340+I340+J340)*50%</f>
        <v>1.965</v>
      </c>
      <c r="L340" s="515">
        <f t="shared" si="144"/>
        <v>2.751</v>
      </c>
      <c r="M340" s="515"/>
      <c r="N340" s="515"/>
      <c r="O340" s="651">
        <f>(F340+I340+J340)*25%</f>
        <v>0.9825</v>
      </c>
      <c r="P340" s="515"/>
      <c r="Q340" s="515"/>
      <c r="R340" s="515"/>
      <c r="S340" s="551"/>
      <c r="T340" s="515">
        <f>(F340+I340+J340)*30%</f>
        <v>1.179</v>
      </c>
      <c r="U340" s="515"/>
      <c r="V340" s="515">
        <f>0.1*(F340+I340)</f>
        <v>0.393</v>
      </c>
      <c r="W340" s="515">
        <v>0.15</v>
      </c>
      <c r="X340" s="515">
        <f>(F340+I340+J340)*22.5%</f>
        <v>0.8842500000000001</v>
      </c>
      <c r="Y340" s="2">
        <f>E340*1490000*12</f>
        <v>231273330</v>
      </c>
      <c r="Z340" s="2"/>
      <c r="AA340" s="5"/>
      <c r="AB340" s="5"/>
      <c r="AC340" s="5"/>
      <c r="AD340" s="5"/>
    </row>
    <row r="341" spans="1:30" ht="15">
      <c r="A341" s="9">
        <v>14</v>
      </c>
      <c r="B341" s="659" t="s">
        <v>555</v>
      </c>
      <c r="C341" s="517"/>
      <c r="D341" s="517"/>
      <c r="E341" s="515">
        <f t="shared" si="141"/>
        <v>8.16625</v>
      </c>
      <c r="F341" s="660">
        <v>2.67</v>
      </c>
      <c r="G341" s="515">
        <f t="shared" si="142"/>
        <v>4.8505</v>
      </c>
      <c r="H341" s="515">
        <v>0.7</v>
      </c>
      <c r="I341" s="505">
        <v>0.2</v>
      </c>
      <c r="J341" s="515"/>
      <c r="K341" s="515">
        <f t="shared" si="143"/>
        <v>1.435</v>
      </c>
      <c r="L341" s="515"/>
      <c r="M341" s="515"/>
      <c r="N341" s="515"/>
      <c r="O341" s="651">
        <f t="shared" si="145"/>
        <v>0.7175</v>
      </c>
      <c r="P341" s="515"/>
      <c r="Q341" s="515">
        <v>0.5</v>
      </c>
      <c r="R341" s="515"/>
      <c r="S341" s="551"/>
      <c r="T341" s="515">
        <f t="shared" si="146"/>
        <v>0.861</v>
      </c>
      <c r="U341" s="515"/>
      <c r="V341" s="515">
        <f>0.1*(F341+I341)</f>
        <v>0.28700000000000003</v>
      </c>
      <c r="W341" s="515">
        <v>0.15</v>
      </c>
      <c r="X341" s="515">
        <f t="shared" si="147"/>
        <v>0.64575</v>
      </c>
      <c r="Y341" s="2">
        <f t="shared" si="148"/>
        <v>146012550</v>
      </c>
      <c r="Z341" s="2"/>
      <c r="AA341" s="5"/>
      <c r="AB341" s="5"/>
      <c r="AC341" s="5"/>
      <c r="AD341" s="5"/>
    </row>
    <row r="342" spans="1:30" ht="15">
      <c r="A342" s="9">
        <v>15</v>
      </c>
      <c r="B342" s="659" t="s">
        <v>103</v>
      </c>
      <c r="C342" s="517"/>
      <c r="D342" s="517"/>
      <c r="E342" s="515">
        <f t="shared" si="141"/>
        <v>9.38075</v>
      </c>
      <c r="F342" s="660">
        <v>3.33</v>
      </c>
      <c r="G342" s="515">
        <f t="shared" si="142"/>
        <v>5.256500000000001</v>
      </c>
      <c r="H342" s="515">
        <v>0.7</v>
      </c>
      <c r="I342" s="515">
        <v>0.2</v>
      </c>
      <c r="J342" s="515"/>
      <c r="K342" s="515">
        <f t="shared" si="143"/>
        <v>1.7650000000000001</v>
      </c>
      <c r="L342" s="515"/>
      <c r="M342" s="515"/>
      <c r="N342" s="515"/>
      <c r="O342" s="651">
        <f t="shared" si="145"/>
        <v>0.8825000000000001</v>
      </c>
      <c r="P342" s="515"/>
      <c r="Q342" s="515">
        <v>0.5</v>
      </c>
      <c r="R342" s="515"/>
      <c r="S342" s="551"/>
      <c r="T342" s="515">
        <f t="shared" si="146"/>
        <v>1.059</v>
      </c>
      <c r="U342" s="515"/>
      <c r="V342" s="515"/>
      <c r="W342" s="515">
        <v>0.15</v>
      </c>
      <c r="X342" s="515">
        <f t="shared" si="147"/>
        <v>0.7942500000000001</v>
      </c>
      <c r="Y342" s="2">
        <f t="shared" si="148"/>
        <v>167727810.00000003</v>
      </c>
      <c r="Z342" s="2"/>
      <c r="AA342" s="5"/>
      <c r="AB342" s="5"/>
      <c r="AC342" s="5"/>
      <c r="AD342" s="5"/>
    </row>
    <row r="343" spans="1:30" ht="15">
      <c r="A343" s="9">
        <v>16</v>
      </c>
      <c r="B343" s="659" t="s">
        <v>102</v>
      </c>
      <c r="C343" s="517"/>
      <c r="D343" s="517"/>
      <c r="E343" s="515">
        <f t="shared" si="141"/>
        <v>12.01925</v>
      </c>
      <c r="F343" s="660">
        <v>4.27</v>
      </c>
      <c r="G343" s="515">
        <f>SUM(H343:W343)</f>
        <v>6.7435</v>
      </c>
      <c r="H343" s="515">
        <v>0.7</v>
      </c>
      <c r="I343" s="515">
        <v>0.2</v>
      </c>
      <c r="J343" s="515"/>
      <c r="K343" s="515">
        <f>(F343+I343+J343)*50%</f>
        <v>2.235</v>
      </c>
      <c r="L343" s="515"/>
      <c r="M343" s="515"/>
      <c r="N343" s="515"/>
      <c r="O343" s="651">
        <f>(F343+I343+J343)*25%</f>
        <v>1.1175</v>
      </c>
      <c r="P343" s="515"/>
      <c r="Q343" s="515">
        <v>1</v>
      </c>
      <c r="R343" s="515"/>
      <c r="S343" s="551"/>
      <c r="T343" s="515">
        <f>(F343+I343+J343)*30%</f>
        <v>1.341</v>
      </c>
      <c r="U343" s="515"/>
      <c r="V343" s="515"/>
      <c r="W343" s="515">
        <v>0.15</v>
      </c>
      <c r="X343" s="515">
        <f>(F343+I343+J343)*22.5%</f>
        <v>1.00575</v>
      </c>
      <c r="Y343" s="2">
        <f>E343*1490000*12</f>
        <v>214904190</v>
      </c>
      <c r="Z343" s="2"/>
      <c r="AA343" s="5"/>
      <c r="AB343" s="5"/>
      <c r="AC343" s="5"/>
      <c r="AD343" s="5"/>
    </row>
    <row r="344" spans="1:30" ht="15">
      <c r="A344" s="9">
        <v>17</v>
      </c>
      <c r="B344" s="659" t="s">
        <v>101</v>
      </c>
      <c r="C344" s="517"/>
      <c r="D344" s="517"/>
      <c r="E344" s="515">
        <f t="shared" si="141"/>
        <v>12.3335</v>
      </c>
      <c r="F344" s="660">
        <v>3.66</v>
      </c>
      <c r="G344" s="515">
        <f t="shared" si="142"/>
        <v>7.805000000000001</v>
      </c>
      <c r="H344" s="515">
        <v>0.7</v>
      </c>
      <c r="I344" s="515">
        <v>0.2</v>
      </c>
      <c r="J344" s="515"/>
      <c r="K344" s="515">
        <f t="shared" si="143"/>
        <v>1.9300000000000002</v>
      </c>
      <c r="L344" s="515">
        <f t="shared" si="144"/>
        <v>2.702</v>
      </c>
      <c r="M344" s="515"/>
      <c r="N344" s="515"/>
      <c r="O344" s="651">
        <f t="shared" si="145"/>
        <v>0.9650000000000001</v>
      </c>
      <c r="P344" s="515"/>
      <c r="Q344" s="515"/>
      <c r="R344" s="515"/>
      <c r="S344" s="551"/>
      <c r="T344" s="515">
        <f t="shared" si="146"/>
        <v>1.1580000000000001</v>
      </c>
      <c r="U344" s="515"/>
      <c r="V344" s="515"/>
      <c r="W344" s="515">
        <v>0.15</v>
      </c>
      <c r="X344" s="515">
        <f t="shared" si="147"/>
        <v>0.8685</v>
      </c>
      <c r="Y344" s="2">
        <f t="shared" si="148"/>
        <v>220522980</v>
      </c>
      <c r="Z344" s="2"/>
      <c r="AA344" s="5"/>
      <c r="AB344" s="5"/>
      <c r="AC344" s="5"/>
      <c r="AD344" s="5"/>
    </row>
    <row r="345" spans="1:30" ht="15">
      <c r="A345" s="9">
        <v>18</v>
      </c>
      <c r="B345" s="659" t="s">
        <v>100</v>
      </c>
      <c r="C345" s="517"/>
      <c r="D345" s="517"/>
      <c r="E345" s="515">
        <f t="shared" si="141"/>
        <v>10.370000000000001</v>
      </c>
      <c r="F345" s="660">
        <v>3</v>
      </c>
      <c r="G345" s="515">
        <f>SUM(H345:W345)</f>
        <v>6.65</v>
      </c>
      <c r="H345" s="515">
        <v>0.7</v>
      </c>
      <c r="I345" s="515">
        <v>0.2</v>
      </c>
      <c r="J345" s="515"/>
      <c r="K345" s="515">
        <f>(F345+I345+J345)*50%</f>
        <v>1.6</v>
      </c>
      <c r="L345" s="515">
        <f t="shared" si="144"/>
        <v>2.2399999999999998</v>
      </c>
      <c r="M345" s="515"/>
      <c r="N345" s="515"/>
      <c r="O345" s="651">
        <f>(F345+I345+J345)*25%</f>
        <v>0.8</v>
      </c>
      <c r="P345" s="515"/>
      <c r="Q345" s="515"/>
      <c r="R345" s="515"/>
      <c r="S345" s="551"/>
      <c r="T345" s="515">
        <f>(F345+I345+J345)*30%</f>
        <v>0.96</v>
      </c>
      <c r="U345" s="515"/>
      <c r="V345" s="515"/>
      <c r="W345" s="515">
        <v>0.15</v>
      </c>
      <c r="X345" s="515">
        <f>(F345+I345+J345)*22.5%</f>
        <v>0.7200000000000001</v>
      </c>
      <c r="Y345" s="2">
        <f>E345*1490000*12</f>
        <v>185415600.00000003</v>
      </c>
      <c r="Z345" s="2"/>
      <c r="AA345" s="5"/>
      <c r="AB345" s="5"/>
      <c r="AC345" s="5"/>
      <c r="AD345" s="5"/>
    </row>
    <row r="346" spans="1:30" ht="15">
      <c r="A346" s="9">
        <v>19</v>
      </c>
      <c r="B346" s="659" t="s">
        <v>99</v>
      </c>
      <c r="C346" s="517"/>
      <c r="D346" s="517"/>
      <c r="E346" s="515">
        <f t="shared" si="141"/>
        <v>8.993250000000002</v>
      </c>
      <c r="F346" s="660">
        <v>2.67</v>
      </c>
      <c r="G346" s="515">
        <f t="shared" si="142"/>
        <v>5.722500000000001</v>
      </c>
      <c r="H346" s="515">
        <v>0.7</v>
      </c>
      <c r="I346" s="515"/>
      <c r="J346" s="515"/>
      <c r="K346" s="515">
        <f t="shared" si="143"/>
        <v>1.335</v>
      </c>
      <c r="L346" s="515">
        <f t="shared" si="144"/>
        <v>1.8689999999999998</v>
      </c>
      <c r="M346" s="515"/>
      <c r="N346" s="515"/>
      <c r="O346" s="651">
        <f t="shared" si="145"/>
        <v>0.6675</v>
      </c>
      <c r="P346" s="515"/>
      <c r="Q346" s="515"/>
      <c r="R346" s="515"/>
      <c r="S346" s="551"/>
      <c r="T346" s="515">
        <f t="shared" si="146"/>
        <v>0.8009999999999999</v>
      </c>
      <c r="U346" s="515">
        <v>0.2</v>
      </c>
      <c r="V346" s="515"/>
      <c r="W346" s="515">
        <v>0.15</v>
      </c>
      <c r="X346" s="515">
        <f t="shared" si="147"/>
        <v>0.60075</v>
      </c>
      <c r="Y346" s="2">
        <f t="shared" si="148"/>
        <v>160799310.00000003</v>
      </c>
      <c r="Z346" s="2"/>
      <c r="AA346" s="5"/>
      <c r="AB346" s="5"/>
      <c r="AC346" s="5"/>
      <c r="AD346" s="5"/>
    </row>
    <row r="347" spans="1:30" ht="15">
      <c r="A347" s="9">
        <v>20</v>
      </c>
      <c r="B347" s="659" t="s">
        <v>97</v>
      </c>
      <c r="C347" s="517"/>
      <c r="D347" s="517"/>
      <c r="E347" s="515">
        <f t="shared" si="141"/>
        <v>8.79325</v>
      </c>
      <c r="F347" s="660">
        <v>2.67</v>
      </c>
      <c r="G347" s="515">
        <f t="shared" si="142"/>
        <v>5.522500000000001</v>
      </c>
      <c r="H347" s="515">
        <v>0.7</v>
      </c>
      <c r="I347" s="515"/>
      <c r="J347" s="515"/>
      <c r="K347" s="515">
        <f t="shared" si="143"/>
        <v>1.335</v>
      </c>
      <c r="L347" s="515">
        <f t="shared" si="144"/>
        <v>1.8689999999999998</v>
      </c>
      <c r="M347" s="515"/>
      <c r="N347" s="515"/>
      <c r="O347" s="651">
        <f t="shared" si="145"/>
        <v>0.6675</v>
      </c>
      <c r="P347" s="515"/>
      <c r="Q347" s="515"/>
      <c r="R347" s="515"/>
      <c r="S347" s="551"/>
      <c r="T347" s="515">
        <f t="shared" si="146"/>
        <v>0.8009999999999999</v>
      </c>
      <c r="U347" s="515"/>
      <c r="V347" s="515"/>
      <c r="W347" s="515">
        <v>0.15</v>
      </c>
      <c r="X347" s="515">
        <f t="shared" si="147"/>
        <v>0.60075</v>
      </c>
      <c r="Y347" s="2">
        <f t="shared" si="148"/>
        <v>157223310</v>
      </c>
      <c r="Z347" s="2"/>
      <c r="AA347" s="5"/>
      <c r="AB347" s="5"/>
      <c r="AC347" s="5"/>
      <c r="AD347" s="5"/>
    </row>
    <row r="348" spans="1:30" ht="15">
      <c r="A348" s="9">
        <v>21</v>
      </c>
      <c r="B348" s="659" t="s">
        <v>96</v>
      </c>
      <c r="C348" s="517"/>
      <c r="D348" s="517"/>
      <c r="E348" s="515">
        <f t="shared" si="141"/>
        <v>7.8115000000000006</v>
      </c>
      <c r="F348" s="660">
        <v>2.34</v>
      </c>
      <c r="G348" s="515">
        <f t="shared" si="142"/>
        <v>4.945</v>
      </c>
      <c r="H348" s="515">
        <v>0.7</v>
      </c>
      <c r="I348" s="515"/>
      <c r="J348" s="515"/>
      <c r="K348" s="515">
        <f t="shared" si="143"/>
        <v>1.17</v>
      </c>
      <c r="L348" s="515">
        <f t="shared" si="144"/>
        <v>1.638</v>
      </c>
      <c r="M348" s="515"/>
      <c r="N348" s="515"/>
      <c r="O348" s="651">
        <f t="shared" si="145"/>
        <v>0.585</v>
      </c>
      <c r="P348" s="515"/>
      <c r="Q348" s="515"/>
      <c r="R348" s="515"/>
      <c r="S348" s="551"/>
      <c r="T348" s="515">
        <f t="shared" si="146"/>
        <v>0.702</v>
      </c>
      <c r="U348" s="515"/>
      <c r="V348" s="515"/>
      <c r="W348" s="515">
        <v>0.15</v>
      </c>
      <c r="X348" s="515">
        <f t="shared" si="147"/>
        <v>0.5265</v>
      </c>
      <c r="Y348" s="2">
        <f t="shared" si="148"/>
        <v>139669620</v>
      </c>
      <c r="Z348" s="2"/>
      <c r="AA348" s="5"/>
      <c r="AB348" s="5"/>
      <c r="AC348" s="5"/>
      <c r="AD348" s="5"/>
    </row>
    <row r="349" spans="1:30" ht="15">
      <c r="A349" s="9">
        <v>22</v>
      </c>
      <c r="B349" s="659" t="s">
        <v>95</v>
      </c>
      <c r="C349" s="517"/>
      <c r="D349" s="517"/>
      <c r="E349" s="515">
        <f t="shared" si="141"/>
        <v>8.79325</v>
      </c>
      <c r="F349" s="660">
        <v>2.67</v>
      </c>
      <c r="G349" s="515">
        <f>SUM(H349:W349)</f>
        <v>5.522500000000001</v>
      </c>
      <c r="H349" s="515">
        <v>0.7</v>
      </c>
      <c r="I349" s="515"/>
      <c r="J349" s="515"/>
      <c r="K349" s="515">
        <f>(F349+I349+J349)*50%</f>
        <v>1.335</v>
      </c>
      <c r="L349" s="515">
        <f t="shared" si="144"/>
        <v>1.8689999999999998</v>
      </c>
      <c r="M349" s="515"/>
      <c r="N349" s="515"/>
      <c r="O349" s="651">
        <f>(F349+I349+J349)*25%</f>
        <v>0.6675</v>
      </c>
      <c r="P349" s="515"/>
      <c r="Q349" s="515"/>
      <c r="R349" s="515"/>
      <c r="S349" s="551"/>
      <c r="T349" s="515">
        <f>(F349+I349+J349)*30%</f>
        <v>0.8009999999999999</v>
      </c>
      <c r="U349" s="515"/>
      <c r="V349" s="515"/>
      <c r="W349" s="515">
        <v>0.15</v>
      </c>
      <c r="X349" s="515">
        <f>(F349+I349+J349)*22.5%</f>
        <v>0.60075</v>
      </c>
      <c r="Y349" s="2">
        <f>E349*1490000*12</f>
        <v>157223310</v>
      </c>
      <c r="Z349" s="2"/>
      <c r="AA349" s="5"/>
      <c r="AB349" s="5"/>
      <c r="AC349" s="5"/>
      <c r="AD349" s="5"/>
    </row>
    <row r="350" spans="1:30" ht="15">
      <c r="A350" s="9">
        <v>23</v>
      </c>
      <c r="B350" s="659" t="s">
        <v>94</v>
      </c>
      <c r="C350" s="517"/>
      <c r="D350" s="517"/>
      <c r="E350" s="515">
        <f t="shared" si="141"/>
        <v>7.623499999999999</v>
      </c>
      <c r="F350" s="660">
        <v>2.26</v>
      </c>
      <c r="G350" s="515">
        <f t="shared" si="142"/>
        <v>4.8549999999999995</v>
      </c>
      <c r="H350" s="515">
        <v>0.7</v>
      </c>
      <c r="I350" s="515"/>
      <c r="J350" s="515"/>
      <c r="K350" s="515">
        <f t="shared" si="143"/>
        <v>1.13</v>
      </c>
      <c r="L350" s="515">
        <f t="shared" si="144"/>
        <v>1.5819999999999999</v>
      </c>
      <c r="M350" s="515"/>
      <c r="N350" s="515"/>
      <c r="O350" s="651">
        <f t="shared" si="145"/>
        <v>0.565</v>
      </c>
      <c r="P350" s="515"/>
      <c r="Q350" s="515"/>
      <c r="R350" s="515"/>
      <c r="S350" s="551"/>
      <c r="T350" s="515">
        <f t="shared" si="146"/>
        <v>0.6779999999999999</v>
      </c>
      <c r="U350" s="515">
        <v>0.05</v>
      </c>
      <c r="V350" s="515"/>
      <c r="W350" s="515">
        <v>0.15</v>
      </c>
      <c r="X350" s="515">
        <f t="shared" si="147"/>
        <v>0.5085</v>
      </c>
      <c r="Y350" s="2">
        <f t="shared" si="148"/>
        <v>136308179.99999997</v>
      </c>
      <c r="Z350" s="2"/>
      <c r="AA350" s="5"/>
      <c r="AB350" s="5"/>
      <c r="AC350" s="5"/>
      <c r="AD350" s="5"/>
    </row>
    <row r="351" spans="1:30" ht="15">
      <c r="A351" s="9">
        <v>24</v>
      </c>
      <c r="B351" s="661" t="s">
        <v>92</v>
      </c>
      <c r="C351" s="517"/>
      <c r="D351" s="517"/>
      <c r="E351" s="515">
        <f t="shared" si="141"/>
        <v>7.8115000000000006</v>
      </c>
      <c r="F351" s="660">
        <v>2.34</v>
      </c>
      <c r="G351" s="515">
        <f>SUM(H351:W351)</f>
        <v>4.945</v>
      </c>
      <c r="H351" s="515">
        <v>0.7</v>
      </c>
      <c r="I351" s="515"/>
      <c r="J351" s="515"/>
      <c r="K351" s="515">
        <f>(F351+I351+J351)*50%</f>
        <v>1.17</v>
      </c>
      <c r="L351" s="515">
        <f t="shared" si="144"/>
        <v>1.638</v>
      </c>
      <c r="M351" s="515"/>
      <c r="N351" s="515"/>
      <c r="O351" s="651">
        <f>(F351+I351+J351)*25%</f>
        <v>0.585</v>
      </c>
      <c r="P351" s="515"/>
      <c r="Q351" s="515"/>
      <c r="R351" s="515"/>
      <c r="S351" s="551"/>
      <c r="T351" s="515">
        <f t="shared" si="146"/>
        <v>0.702</v>
      </c>
      <c r="U351" s="515"/>
      <c r="V351" s="515"/>
      <c r="W351" s="515">
        <v>0.15</v>
      </c>
      <c r="X351" s="515">
        <f>(F351+I351+J351)*22.5%</f>
        <v>0.5265</v>
      </c>
      <c r="Y351" s="2">
        <f>E351*1490000*12</f>
        <v>139669620</v>
      </c>
      <c r="Z351" s="2"/>
      <c r="AA351" s="5"/>
      <c r="AB351" s="5"/>
      <c r="AC351" s="5"/>
      <c r="AD351" s="5"/>
    </row>
    <row r="352" spans="1:30" ht="15">
      <c r="A352" s="9">
        <v>25</v>
      </c>
      <c r="B352" s="661" t="s">
        <v>556</v>
      </c>
      <c r="C352" s="517"/>
      <c r="D352" s="517"/>
      <c r="E352" s="515">
        <f>F352+G352+X352</f>
        <v>7.8115000000000006</v>
      </c>
      <c r="F352" s="660">
        <v>2.34</v>
      </c>
      <c r="G352" s="515">
        <f>SUM(H352:W352)</f>
        <v>4.945</v>
      </c>
      <c r="H352" s="515">
        <v>0.7</v>
      </c>
      <c r="I352" s="515"/>
      <c r="J352" s="515"/>
      <c r="K352" s="515">
        <f>(F352+I352+J352)*50%</f>
        <v>1.17</v>
      </c>
      <c r="L352" s="515">
        <f>0.7*(F352+I352+J352)</f>
        <v>1.638</v>
      </c>
      <c r="M352" s="515"/>
      <c r="N352" s="515"/>
      <c r="O352" s="651">
        <f>(F352+I352+J352)*25%</f>
        <v>0.585</v>
      </c>
      <c r="P352" s="515"/>
      <c r="Q352" s="515"/>
      <c r="R352" s="515"/>
      <c r="S352" s="551"/>
      <c r="T352" s="515">
        <f t="shared" si="146"/>
        <v>0.702</v>
      </c>
      <c r="U352" s="515"/>
      <c r="V352" s="515"/>
      <c r="W352" s="515">
        <v>0.15</v>
      </c>
      <c r="X352" s="515">
        <f>(F352+I352+J352)*22.5%</f>
        <v>0.5265</v>
      </c>
      <c r="Y352" s="2">
        <f>E352*1490000*12</f>
        <v>139669620</v>
      </c>
      <c r="Z352" s="2"/>
      <c r="AA352" s="5"/>
      <c r="AB352" s="5"/>
      <c r="AC352" s="5"/>
      <c r="AD352" s="5"/>
    </row>
    <row r="353" spans="1:30" ht="15">
      <c r="A353" s="9">
        <v>26</v>
      </c>
      <c r="B353" s="661" t="s">
        <v>557</v>
      </c>
      <c r="C353" s="517"/>
      <c r="D353" s="517"/>
      <c r="E353" s="515">
        <f>F353+G353+X353</f>
        <v>7.8115000000000006</v>
      </c>
      <c r="F353" s="660">
        <v>2.34</v>
      </c>
      <c r="G353" s="515">
        <f>SUM(H353:W353)</f>
        <v>4.945</v>
      </c>
      <c r="H353" s="515">
        <v>0.7</v>
      </c>
      <c r="I353" s="515"/>
      <c r="J353" s="515"/>
      <c r="K353" s="515">
        <f>(F353+I353+J353)*50%</f>
        <v>1.17</v>
      </c>
      <c r="L353" s="515">
        <f>0.7*(F353+I353+J353)</f>
        <v>1.638</v>
      </c>
      <c r="M353" s="515"/>
      <c r="N353" s="515"/>
      <c r="O353" s="651">
        <f>(F353+I353+J353)*25%</f>
        <v>0.585</v>
      </c>
      <c r="P353" s="515"/>
      <c r="Q353" s="515"/>
      <c r="R353" s="515"/>
      <c r="S353" s="551"/>
      <c r="T353" s="515">
        <f t="shared" si="146"/>
        <v>0.702</v>
      </c>
      <c r="U353" s="515"/>
      <c r="V353" s="515"/>
      <c r="W353" s="515">
        <v>0.15</v>
      </c>
      <c r="X353" s="515">
        <f>(F353+I353+J353)*22.5%</f>
        <v>0.5265</v>
      </c>
      <c r="Y353" s="2">
        <f>E353*1490000*12</f>
        <v>139669620</v>
      </c>
      <c r="Z353" s="2"/>
      <c r="AA353" s="5"/>
      <c r="AB353" s="5"/>
      <c r="AC353" s="5"/>
      <c r="AD353" s="5"/>
    </row>
    <row r="354" spans="1:30" ht="15">
      <c r="A354" s="9">
        <v>27</v>
      </c>
      <c r="B354" s="661" t="s">
        <v>167</v>
      </c>
      <c r="C354" s="517"/>
      <c r="D354" s="517"/>
      <c r="E354" s="515">
        <f>F354+G354+X354</f>
        <v>7.8115000000000006</v>
      </c>
      <c r="F354" s="660">
        <v>2.34</v>
      </c>
      <c r="G354" s="515">
        <f>SUM(H354:W354)</f>
        <v>4.945</v>
      </c>
      <c r="H354" s="515">
        <v>0.7</v>
      </c>
      <c r="I354" s="515"/>
      <c r="J354" s="515"/>
      <c r="K354" s="515">
        <f>(F354+I354+J354)*50%</f>
        <v>1.17</v>
      </c>
      <c r="L354" s="515">
        <f>0.7*(F354+I354+J354)</f>
        <v>1.638</v>
      </c>
      <c r="M354" s="515"/>
      <c r="N354" s="515"/>
      <c r="O354" s="651">
        <f>(F354+I354+J354)*25%</f>
        <v>0.585</v>
      </c>
      <c r="P354" s="515"/>
      <c r="Q354" s="515"/>
      <c r="R354" s="515"/>
      <c r="S354" s="551"/>
      <c r="T354" s="515">
        <f t="shared" si="146"/>
        <v>0.702</v>
      </c>
      <c r="U354" s="515"/>
      <c r="V354" s="515"/>
      <c r="W354" s="515">
        <v>0.15</v>
      </c>
      <c r="X354" s="515">
        <f>(F354+I354+J354)*22.5%</f>
        <v>0.5265</v>
      </c>
      <c r="Y354" s="2">
        <f>E354*1490000*12</f>
        <v>139669620</v>
      </c>
      <c r="Z354" s="2"/>
      <c r="AA354" s="5"/>
      <c r="AB354" s="5"/>
      <c r="AC354" s="5"/>
      <c r="AD354" s="5"/>
    </row>
    <row r="355" spans="1:30" ht="15">
      <c r="A355" s="9">
        <v>28</v>
      </c>
      <c r="B355" s="661" t="s">
        <v>558</v>
      </c>
      <c r="C355" s="517"/>
      <c r="D355" s="517"/>
      <c r="E355" s="515">
        <f>F355+G355+X355</f>
        <v>7.8115000000000006</v>
      </c>
      <c r="F355" s="660">
        <v>2.34</v>
      </c>
      <c r="G355" s="515">
        <f>SUM(H355:W355)</f>
        <v>4.945</v>
      </c>
      <c r="H355" s="515">
        <v>0.7</v>
      </c>
      <c r="I355" s="515"/>
      <c r="J355" s="515"/>
      <c r="K355" s="515">
        <f>(F355+I355+J355)*50%</f>
        <v>1.17</v>
      </c>
      <c r="L355" s="515">
        <f>0.7*(F355+I355+J355)</f>
        <v>1.638</v>
      </c>
      <c r="M355" s="515"/>
      <c r="N355" s="515"/>
      <c r="O355" s="651">
        <f>(F355+I355+J355)*25%</f>
        <v>0.585</v>
      </c>
      <c r="P355" s="515"/>
      <c r="Q355" s="515"/>
      <c r="R355" s="515"/>
      <c r="S355" s="551"/>
      <c r="T355" s="515">
        <f t="shared" si="146"/>
        <v>0.702</v>
      </c>
      <c r="U355" s="515"/>
      <c r="V355" s="515"/>
      <c r="W355" s="515">
        <v>0.15</v>
      </c>
      <c r="X355" s="515">
        <f>(F355+I355+J355)*22.5%</f>
        <v>0.5265</v>
      </c>
      <c r="Y355" s="2">
        <f>E355*1490000*12</f>
        <v>139669620</v>
      </c>
      <c r="Z355" s="2"/>
      <c r="AA355" s="5"/>
      <c r="AB355" s="5"/>
      <c r="AC355" s="5"/>
      <c r="AD355" s="5"/>
    </row>
    <row r="356" spans="1:30" ht="15">
      <c r="A356" s="9">
        <v>29</v>
      </c>
      <c r="B356" s="662" t="s">
        <v>90</v>
      </c>
      <c r="C356" s="515"/>
      <c r="D356" s="515"/>
      <c r="E356" s="515">
        <f t="shared" si="141"/>
        <v>9.3585</v>
      </c>
      <c r="F356" s="551">
        <v>2.86</v>
      </c>
      <c r="G356" s="515">
        <f>H356+I356+J356+K356+L356+M356+N356+O356+P356+Q356+R356+S356+T356+U356+W356</f>
        <v>5.8549999999999995</v>
      </c>
      <c r="H356" s="515">
        <v>0.7</v>
      </c>
      <c r="I356" s="515"/>
      <c r="J356" s="515"/>
      <c r="K356" s="515">
        <f>(F356+I356)*50%</f>
        <v>1.43</v>
      </c>
      <c r="L356" s="515">
        <f t="shared" si="144"/>
        <v>2.002</v>
      </c>
      <c r="M356" s="515"/>
      <c r="N356" s="515"/>
      <c r="O356" s="592">
        <f>(F356+I356)*25%</f>
        <v>0.715</v>
      </c>
      <c r="P356" s="515"/>
      <c r="Q356" s="515"/>
      <c r="R356" s="515"/>
      <c r="S356" s="551"/>
      <c r="T356" s="515">
        <f t="shared" si="146"/>
        <v>0.858</v>
      </c>
      <c r="U356" s="515"/>
      <c r="V356" s="515"/>
      <c r="W356" s="515">
        <v>0.15</v>
      </c>
      <c r="X356" s="515">
        <f>(F356+I356)*22.5%</f>
        <v>0.6435</v>
      </c>
      <c r="Y356" s="2">
        <f t="shared" si="148"/>
        <v>167329980</v>
      </c>
      <c r="Z356" s="2"/>
      <c r="AA356" s="1"/>
      <c r="AB356" s="1"/>
      <c r="AC356" s="1"/>
      <c r="AD356" s="1"/>
    </row>
    <row r="357" spans="1:30" ht="15">
      <c r="A357" s="9">
        <v>30</v>
      </c>
      <c r="B357" s="663" t="s">
        <v>559</v>
      </c>
      <c r="C357" s="517"/>
      <c r="D357" s="517"/>
      <c r="E357" s="515">
        <f>F357+G357+X357</f>
        <v>50.9805</v>
      </c>
      <c r="F357" s="660">
        <f>7*2.34</f>
        <v>16.38</v>
      </c>
      <c r="G357" s="515">
        <f>SUM(H357:W357)</f>
        <v>30.915</v>
      </c>
      <c r="H357" s="515">
        <f>0.7*3</f>
        <v>2.0999999999999996</v>
      </c>
      <c r="I357" s="515"/>
      <c r="J357" s="515"/>
      <c r="K357" s="515">
        <f>(F357+I357)*50%</f>
        <v>8.19</v>
      </c>
      <c r="L357" s="515">
        <f>0.7*(F357+I357+J357)</f>
        <v>11.466</v>
      </c>
      <c r="M357" s="515"/>
      <c r="N357" s="515"/>
      <c r="O357" s="592">
        <f>(F357+I357)*25%</f>
        <v>4.095</v>
      </c>
      <c r="P357" s="515"/>
      <c r="Q357" s="515"/>
      <c r="R357" s="515"/>
      <c r="S357" s="551"/>
      <c r="T357" s="515">
        <f t="shared" si="146"/>
        <v>4.914</v>
      </c>
      <c r="U357" s="515"/>
      <c r="V357" s="515"/>
      <c r="W357" s="515">
        <v>0.15</v>
      </c>
      <c r="X357" s="515">
        <f>(F357+I357+J357)*22.5%</f>
        <v>3.6854999999999998</v>
      </c>
      <c r="Y357" s="2">
        <f>E357*1490000*12</f>
        <v>911531340</v>
      </c>
      <c r="Z357" s="2"/>
      <c r="AA357" s="5"/>
      <c r="AB357" s="5"/>
      <c r="AC357" s="5"/>
      <c r="AD357" s="5"/>
    </row>
    <row r="358" spans="1:30" ht="15">
      <c r="A358" s="14"/>
      <c r="B358" s="596"/>
      <c r="C358" s="552"/>
      <c r="D358" s="552"/>
      <c r="E358" s="552"/>
      <c r="F358" s="552"/>
      <c r="G358" s="552"/>
      <c r="H358" s="552"/>
      <c r="I358" s="552"/>
      <c r="J358" s="552"/>
      <c r="K358" s="552"/>
      <c r="L358" s="552"/>
      <c r="M358" s="552"/>
      <c r="N358" s="552"/>
      <c r="O358" s="552"/>
      <c r="P358" s="552"/>
      <c r="Q358" s="552"/>
      <c r="R358" s="552"/>
      <c r="S358" s="552"/>
      <c r="T358" s="552"/>
      <c r="U358" s="552"/>
      <c r="V358" s="552"/>
      <c r="W358" s="552"/>
      <c r="X358" s="552"/>
      <c r="Y358" s="552"/>
      <c r="Z358" s="563"/>
      <c r="AA358" s="13"/>
      <c r="AB358" s="13"/>
      <c r="AC358" s="13"/>
      <c r="AD358" s="13"/>
    </row>
    <row r="359" spans="1:30" ht="15">
      <c r="A359" s="9"/>
      <c r="B359" s="646"/>
      <c r="C359" s="515"/>
      <c r="D359" s="515"/>
      <c r="E359" s="515"/>
      <c r="F359" s="551"/>
      <c r="G359" s="515"/>
      <c r="H359" s="515"/>
      <c r="I359" s="515"/>
      <c r="J359" s="515"/>
      <c r="K359" s="515"/>
      <c r="L359" s="515"/>
      <c r="M359" s="515"/>
      <c r="N359" s="515"/>
      <c r="O359" s="592"/>
      <c r="P359" s="515"/>
      <c r="Q359" s="515"/>
      <c r="R359" s="515"/>
      <c r="S359" s="551"/>
      <c r="T359" s="515"/>
      <c r="U359" s="515"/>
      <c r="V359" s="515"/>
      <c r="W359" s="515"/>
      <c r="X359" s="515"/>
      <c r="Y359" s="2"/>
      <c r="Z359" s="2"/>
      <c r="AA359" s="1"/>
      <c r="AB359" s="1"/>
      <c r="AC359" s="1"/>
      <c r="AD359" s="1"/>
    </row>
    <row r="360" spans="1:30" ht="15">
      <c r="A360" s="9"/>
      <c r="B360" s="646"/>
      <c r="C360" s="515"/>
      <c r="D360" s="515"/>
      <c r="E360" s="515"/>
      <c r="F360" s="551"/>
      <c r="G360" s="515"/>
      <c r="H360" s="515"/>
      <c r="I360" s="515"/>
      <c r="J360" s="515"/>
      <c r="K360" s="515"/>
      <c r="L360" s="515"/>
      <c r="M360" s="515"/>
      <c r="N360" s="515"/>
      <c r="O360" s="592"/>
      <c r="P360" s="515"/>
      <c r="Q360" s="515"/>
      <c r="R360" s="515"/>
      <c r="S360" s="551"/>
      <c r="T360" s="515"/>
      <c r="U360" s="515"/>
      <c r="V360" s="515"/>
      <c r="W360" s="515"/>
      <c r="X360" s="515"/>
      <c r="Y360" s="2"/>
      <c r="Z360" s="2"/>
      <c r="AA360" s="1"/>
      <c r="AB360" s="1"/>
      <c r="AC360" s="1"/>
      <c r="AD360" s="1"/>
    </row>
    <row r="361" spans="1:30" ht="15">
      <c r="A361" s="9"/>
      <c r="B361" s="646"/>
      <c r="C361" s="515"/>
      <c r="D361" s="515"/>
      <c r="E361" s="515"/>
      <c r="F361" s="551"/>
      <c r="G361" s="515"/>
      <c r="H361" s="515"/>
      <c r="I361" s="515"/>
      <c r="J361" s="515"/>
      <c r="K361" s="515"/>
      <c r="L361" s="515"/>
      <c r="M361" s="515"/>
      <c r="N361" s="515"/>
      <c r="O361" s="592"/>
      <c r="P361" s="515"/>
      <c r="Q361" s="515"/>
      <c r="R361" s="515"/>
      <c r="S361" s="551"/>
      <c r="T361" s="515"/>
      <c r="U361" s="515"/>
      <c r="V361" s="515"/>
      <c r="W361" s="515"/>
      <c r="X361" s="515"/>
      <c r="Y361" s="2"/>
      <c r="Z361" s="2"/>
      <c r="AA361" s="1"/>
      <c r="AB361" s="1"/>
      <c r="AC361" s="1"/>
      <c r="AD361" s="1"/>
    </row>
    <row r="362" spans="1:30" ht="15">
      <c r="A362" s="9"/>
      <c r="B362" s="646"/>
      <c r="C362" s="515"/>
      <c r="D362" s="515"/>
      <c r="E362" s="515"/>
      <c r="F362" s="551"/>
      <c r="G362" s="515"/>
      <c r="H362" s="515"/>
      <c r="I362" s="515"/>
      <c r="J362" s="515"/>
      <c r="K362" s="515"/>
      <c r="L362" s="515"/>
      <c r="M362" s="515"/>
      <c r="N362" s="515"/>
      <c r="O362" s="592"/>
      <c r="P362" s="515"/>
      <c r="Q362" s="515"/>
      <c r="R362" s="515"/>
      <c r="S362" s="551"/>
      <c r="T362" s="515"/>
      <c r="U362" s="515"/>
      <c r="V362" s="515"/>
      <c r="W362" s="515"/>
      <c r="X362" s="515"/>
      <c r="Y362" s="2"/>
      <c r="Z362" s="2"/>
      <c r="AA362" s="1"/>
      <c r="AB362" s="1"/>
      <c r="AC362" s="1"/>
      <c r="AD362" s="1"/>
    </row>
    <row r="363" spans="1:30" ht="15">
      <c r="A363" s="9" t="s">
        <v>85</v>
      </c>
      <c r="B363" s="10" t="s">
        <v>84</v>
      </c>
      <c r="C363" s="552">
        <f>C364+C369+C373+C376+C380</f>
        <v>12</v>
      </c>
      <c r="D363" s="552">
        <f aca="true" t="shared" si="149" ref="D363:X363">D364+D369+D373+D376+D380</f>
        <v>10</v>
      </c>
      <c r="E363" s="552">
        <f t="shared" si="149"/>
        <v>127.65940000000002</v>
      </c>
      <c r="F363" s="552">
        <f t="shared" si="149"/>
        <v>39.51</v>
      </c>
      <c r="G363" s="552">
        <f t="shared" si="149"/>
        <v>78.60499999999999</v>
      </c>
      <c r="H363" s="552">
        <f t="shared" si="149"/>
        <v>8.399999999999999</v>
      </c>
      <c r="I363" s="552">
        <f t="shared" si="149"/>
        <v>2.45</v>
      </c>
      <c r="J363" s="552">
        <f t="shared" si="149"/>
        <v>0</v>
      </c>
      <c r="K363" s="552">
        <f t="shared" si="149"/>
        <v>20.98</v>
      </c>
      <c r="L363" s="552">
        <f t="shared" si="149"/>
        <v>21.161</v>
      </c>
      <c r="M363" s="552">
        <f t="shared" si="149"/>
        <v>0</v>
      </c>
      <c r="N363" s="552">
        <f t="shared" si="149"/>
        <v>0</v>
      </c>
      <c r="O363" s="552">
        <f t="shared" si="149"/>
        <v>10.49</v>
      </c>
      <c r="P363" s="552">
        <f t="shared" si="149"/>
        <v>0</v>
      </c>
      <c r="Q363" s="552">
        <f t="shared" si="149"/>
        <v>1.9</v>
      </c>
      <c r="R363" s="552">
        <f t="shared" si="149"/>
        <v>0</v>
      </c>
      <c r="S363" s="552">
        <f t="shared" si="149"/>
        <v>0</v>
      </c>
      <c r="T363" s="552">
        <f t="shared" si="149"/>
        <v>12.588</v>
      </c>
      <c r="U363" s="552">
        <f t="shared" si="149"/>
        <v>0</v>
      </c>
      <c r="V363" s="552">
        <f t="shared" si="149"/>
        <v>0.636</v>
      </c>
      <c r="W363" s="552">
        <f t="shared" si="149"/>
        <v>0</v>
      </c>
      <c r="X363" s="552">
        <f t="shared" si="149"/>
        <v>9.544400000000001</v>
      </c>
      <c r="Y363" s="552">
        <f>Y364+Y369+Y373+Y376+Y380</f>
        <v>2282550072</v>
      </c>
      <c r="Z363" s="563"/>
      <c r="AA363" s="5"/>
      <c r="AB363" s="5"/>
      <c r="AC363" s="5"/>
      <c r="AD363" s="5"/>
    </row>
    <row r="364" spans="1:30" ht="15">
      <c r="A364" s="9" t="s">
        <v>83</v>
      </c>
      <c r="B364" s="10" t="s">
        <v>82</v>
      </c>
      <c r="C364" s="518">
        <v>4</v>
      </c>
      <c r="D364" s="518">
        <v>3</v>
      </c>
      <c r="E364" s="552">
        <f>SUM(E365:E368)</f>
        <v>50.003550000000004</v>
      </c>
      <c r="F364" s="552">
        <f aca="true" t="shared" si="150" ref="F364:W364">SUM(F365:F368)</f>
        <v>15.42</v>
      </c>
      <c r="G364" s="552">
        <f t="shared" si="150"/>
        <v>30.835499999999996</v>
      </c>
      <c r="H364" s="552">
        <f t="shared" si="150"/>
        <v>2.8</v>
      </c>
      <c r="I364" s="552">
        <f t="shared" si="150"/>
        <v>0.9500000000000001</v>
      </c>
      <c r="J364" s="552">
        <f t="shared" si="150"/>
        <v>0</v>
      </c>
      <c r="K364" s="552">
        <f t="shared" si="150"/>
        <v>8.185</v>
      </c>
      <c r="L364" s="552">
        <f t="shared" si="150"/>
        <v>8.561</v>
      </c>
      <c r="M364" s="552">
        <f t="shared" si="150"/>
        <v>0</v>
      </c>
      <c r="N364" s="552">
        <f t="shared" si="150"/>
        <v>0</v>
      </c>
      <c r="O364" s="552">
        <f t="shared" si="150"/>
        <v>4.0925</v>
      </c>
      <c r="P364" s="552">
        <f t="shared" si="150"/>
        <v>0</v>
      </c>
      <c r="Q364" s="552">
        <f t="shared" si="150"/>
        <v>0.7</v>
      </c>
      <c r="R364" s="552">
        <f t="shared" si="150"/>
        <v>0</v>
      </c>
      <c r="S364" s="552">
        <f t="shared" si="150"/>
        <v>0</v>
      </c>
      <c r="T364" s="552">
        <f t="shared" si="150"/>
        <v>4.911</v>
      </c>
      <c r="U364" s="552">
        <f t="shared" si="150"/>
        <v>0</v>
      </c>
      <c r="V364" s="552">
        <f t="shared" si="150"/>
        <v>0.636</v>
      </c>
      <c r="W364" s="552">
        <f t="shared" si="150"/>
        <v>0</v>
      </c>
      <c r="X364" s="552">
        <f>SUM(X365:X368)</f>
        <v>3.74805</v>
      </c>
      <c r="Y364" s="563">
        <f>ROUNDUP(SUM(Y365:Y368),0)</f>
        <v>894063474</v>
      </c>
      <c r="Z364" s="563"/>
      <c r="AA364" s="867" t="s">
        <v>553</v>
      </c>
      <c r="AB364" s="5"/>
      <c r="AC364" s="5"/>
      <c r="AD364" s="5"/>
    </row>
    <row r="365" spans="1:30" ht="15">
      <c r="A365" s="11">
        <v>1</v>
      </c>
      <c r="B365" s="654" t="s">
        <v>81</v>
      </c>
      <c r="C365" s="517"/>
      <c r="D365" s="517"/>
      <c r="E365" s="515">
        <f aca="true" t="shared" si="151" ref="E365:E379">F365+G365+X365</f>
        <v>20.256999999999998</v>
      </c>
      <c r="F365" s="513">
        <v>5.76</v>
      </c>
      <c r="G365" s="515">
        <f>SUM(H365:W365)</f>
        <v>13.065999999999997</v>
      </c>
      <c r="H365" s="515">
        <v>0.7</v>
      </c>
      <c r="I365" s="515">
        <v>0.6</v>
      </c>
      <c r="J365" s="515"/>
      <c r="K365" s="515">
        <f>(F365+I365+J365)*0.5</f>
        <v>3.1799999999999997</v>
      </c>
      <c r="L365" s="515">
        <f>0.7*(F365+I365)</f>
        <v>4.451999999999999</v>
      </c>
      <c r="M365" s="515"/>
      <c r="N365" s="515"/>
      <c r="O365" s="515">
        <f>(F365+I365+J365)*0.25</f>
        <v>1.5899999999999999</v>
      </c>
      <c r="P365" s="515"/>
      <c r="Q365" s="515"/>
      <c r="R365" s="515"/>
      <c r="S365" s="551"/>
      <c r="T365" s="515">
        <f>(F365+I365+J365)*30%</f>
        <v>1.9079999999999997</v>
      </c>
      <c r="U365" s="515"/>
      <c r="V365" s="515">
        <f>0.1*(F365+I365)</f>
        <v>0.636</v>
      </c>
      <c r="W365" s="515"/>
      <c r="X365" s="515">
        <f>(F365+I365+J365+M365)*0.225</f>
        <v>1.4309999999999998</v>
      </c>
      <c r="Y365" s="2">
        <f>E365*1490000*12</f>
        <v>362195159.99999994</v>
      </c>
      <c r="Z365" s="2"/>
      <c r="AA365" s="867"/>
      <c r="AB365" s="5"/>
      <c r="AC365" s="5"/>
      <c r="AD365" s="5"/>
    </row>
    <row r="366" spans="1:30" ht="15">
      <c r="A366" s="11">
        <v>2</v>
      </c>
      <c r="B366" s="654" t="s">
        <v>80</v>
      </c>
      <c r="C366" s="517"/>
      <c r="D366" s="517"/>
      <c r="E366" s="515">
        <f t="shared" si="151"/>
        <v>11.20175</v>
      </c>
      <c r="F366" s="513">
        <v>3.33</v>
      </c>
      <c r="G366" s="515">
        <f>SUM(H366:W366)</f>
        <v>7.077500000000001</v>
      </c>
      <c r="H366" s="515">
        <v>0.7</v>
      </c>
      <c r="I366" s="515">
        <v>0.2</v>
      </c>
      <c r="J366" s="515"/>
      <c r="K366" s="515">
        <f>(F366+I366+J366)*0.5</f>
        <v>1.7650000000000001</v>
      </c>
      <c r="L366" s="515">
        <f>0.7*(F366+I366)</f>
        <v>2.471</v>
      </c>
      <c r="M366" s="515"/>
      <c r="N366" s="515"/>
      <c r="O366" s="515">
        <f>(F366+I366+J366)*0.25</f>
        <v>0.8825000000000001</v>
      </c>
      <c r="P366" s="515"/>
      <c r="Q366" s="515"/>
      <c r="R366" s="515"/>
      <c r="S366" s="551"/>
      <c r="T366" s="515">
        <f>(F366+I366+J366)*30%</f>
        <v>1.059</v>
      </c>
      <c r="U366" s="515"/>
      <c r="V366" s="515"/>
      <c r="W366" s="515"/>
      <c r="X366" s="515">
        <f>(F366+I366+J366+M366)*0.225</f>
        <v>0.7942500000000001</v>
      </c>
      <c r="Y366" s="2">
        <f>E366*1490000*12</f>
        <v>200287290</v>
      </c>
      <c r="Z366" s="2"/>
      <c r="AA366" s="867"/>
      <c r="AB366" s="5"/>
      <c r="AC366" s="5"/>
      <c r="AD366" s="5"/>
    </row>
    <row r="367" spans="1:30" ht="15">
      <c r="A367" s="11">
        <v>3</v>
      </c>
      <c r="B367" s="654" t="s">
        <v>164</v>
      </c>
      <c r="C367" s="517"/>
      <c r="D367" s="517"/>
      <c r="E367" s="515">
        <f t="shared" si="151"/>
        <v>7.6849</v>
      </c>
      <c r="F367" s="513">
        <v>2.34</v>
      </c>
      <c r="G367" s="515">
        <f>SUM(H367:W367)</f>
        <v>4.795</v>
      </c>
      <c r="H367" s="515">
        <v>0.7</v>
      </c>
      <c r="I367" s="515"/>
      <c r="J367" s="515"/>
      <c r="K367" s="515">
        <f>(F367+I367+J367)*0.5</f>
        <v>1.17</v>
      </c>
      <c r="L367" s="515">
        <f>0.7*(F367+I367)</f>
        <v>1.638</v>
      </c>
      <c r="M367" s="515"/>
      <c r="N367" s="515"/>
      <c r="O367" s="515">
        <f>(F367+I367+J367)*0.25</f>
        <v>0.585</v>
      </c>
      <c r="P367" s="515"/>
      <c r="Q367" s="515"/>
      <c r="R367" s="515"/>
      <c r="S367" s="551"/>
      <c r="T367" s="515">
        <f>(F367+I367+J367)*30%</f>
        <v>0.702</v>
      </c>
      <c r="U367" s="515"/>
      <c r="V367" s="515"/>
      <c r="W367" s="515"/>
      <c r="X367" s="515">
        <f>(F367+I367+J367+M367)*0.235</f>
        <v>0.5498999999999999</v>
      </c>
      <c r="Y367" s="2">
        <f>E367*1490000*12</f>
        <v>137406012</v>
      </c>
      <c r="Z367" s="2"/>
      <c r="AA367" s="867"/>
      <c r="AB367" s="5"/>
      <c r="AC367" s="5"/>
      <c r="AD367" s="5"/>
    </row>
    <row r="368" spans="1:30" ht="15">
      <c r="A368" s="11">
        <v>4</v>
      </c>
      <c r="B368" s="654" t="s">
        <v>78</v>
      </c>
      <c r="C368" s="517"/>
      <c r="D368" s="517"/>
      <c r="E368" s="515">
        <f t="shared" si="151"/>
        <v>10.8599</v>
      </c>
      <c r="F368" s="513">
        <v>3.99</v>
      </c>
      <c r="G368" s="515">
        <f>SUM(H368:W368)</f>
        <v>5.897</v>
      </c>
      <c r="H368" s="515">
        <v>0.7</v>
      </c>
      <c r="I368" s="515">
        <v>0.15</v>
      </c>
      <c r="J368" s="515"/>
      <c r="K368" s="515">
        <f>(F368+I368+J368)*0.5</f>
        <v>2.0700000000000003</v>
      </c>
      <c r="L368" s="515"/>
      <c r="M368" s="515"/>
      <c r="N368" s="515"/>
      <c r="O368" s="515">
        <f>(F368+I368+J368)*0.25</f>
        <v>1.0350000000000001</v>
      </c>
      <c r="P368" s="515"/>
      <c r="Q368" s="515">
        <v>0.7</v>
      </c>
      <c r="R368" s="515"/>
      <c r="S368" s="551"/>
      <c r="T368" s="515">
        <f>(F368+I368+J368)*30%</f>
        <v>1.2420000000000002</v>
      </c>
      <c r="U368" s="515"/>
      <c r="V368" s="515"/>
      <c r="W368" s="515"/>
      <c r="X368" s="515">
        <f>(F368+I368+J368+M368)*0.235</f>
        <v>0.9729000000000001</v>
      </c>
      <c r="Y368" s="2">
        <f>E368*1490000*12</f>
        <v>194175012</v>
      </c>
      <c r="Z368" s="2"/>
      <c r="AA368" s="867"/>
      <c r="AB368" s="5"/>
      <c r="AC368" s="5"/>
      <c r="AD368" s="5"/>
    </row>
    <row r="369" spans="1:30" ht="15">
      <c r="A369" s="9" t="s">
        <v>77</v>
      </c>
      <c r="B369" s="10" t="s">
        <v>76</v>
      </c>
      <c r="C369" s="518">
        <v>2</v>
      </c>
      <c r="D369" s="518">
        <v>2</v>
      </c>
      <c r="E369" s="552">
        <f>E370</f>
        <v>18.17675</v>
      </c>
      <c r="F369" s="647">
        <f aca="true" t="shared" si="152" ref="F369:Y369">F370</f>
        <v>5.67</v>
      </c>
      <c r="G369" s="552">
        <f t="shared" si="152"/>
        <v>11.118500000000001</v>
      </c>
      <c r="H369" s="552">
        <f t="shared" si="152"/>
        <v>1.4</v>
      </c>
      <c r="I369" s="552">
        <f t="shared" si="152"/>
        <v>0.5</v>
      </c>
      <c r="J369" s="552">
        <f t="shared" si="152"/>
        <v>0</v>
      </c>
      <c r="K369" s="552">
        <f t="shared" si="152"/>
        <v>3.085</v>
      </c>
      <c r="L369" s="552">
        <f t="shared" si="152"/>
        <v>2.2399999999999998</v>
      </c>
      <c r="M369" s="552">
        <f t="shared" si="152"/>
        <v>0</v>
      </c>
      <c r="N369" s="552">
        <f t="shared" si="152"/>
        <v>0</v>
      </c>
      <c r="O369" s="552">
        <f t="shared" si="152"/>
        <v>1.5425</v>
      </c>
      <c r="P369" s="552">
        <f t="shared" si="152"/>
        <v>0</v>
      </c>
      <c r="Q369" s="552">
        <f t="shared" si="152"/>
        <v>0.5</v>
      </c>
      <c r="R369" s="552">
        <f t="shared" si="152"/>
        <v>0</v>
      </c>
      <c r="S369" s="647">
        <f t="shared" si="152"/>
        <v>0</v>
      </c>
      <c r="T369" s="552">
        <f t="shared" si="152"/>
        <v>1.851</v>
      </c>
      <c r="U369" s="552">
        <f t="shared" si="152"/>
        <v>0</v>
      </c>
      <c r="V369" s="552"/>
      <c r="W369" s="552">
        <f t="shared" si="152"/>
        <v>0</v>
      </c>
      <c r="X369" s="552">
        <f t="shared" si="152"/>
        <v>1.3882500000000002</v>
      </c>
      <c r="Y369" s="563">
        <f t="shared" si="152"/>
        <v>325000290</v>
      </c>
      <c r="Z369" s="563"/>
      <c r="AA369" s="867"/>
      <c r="AB369" s="5"/>
      <c r="AC369" s="5"/>
      <c r="AD369" s="5"/>
    </row>
    <row r="370" spans="1:30" ht="15">
      <c r="A370" s="9">
        <v>1</v>
      </c>
      <c r="B370" s="10" t="s">
        <v>75</v>
      </c>
      <c r="C370" s="518"/>
      <c r="D370" s="518"/>
      <c r="E370" s="552">
        <f>E371+E372</f>
        <v>18.17675</v>
      </c>
      <c r="F370" s="552">
        <f aca="true" t="shared" si="153" ref="F370:X370">F371+F372</f>
        <v>5.67</v>
      </c>
      <c r="G370" s="552">
        <f t="shared" si="153"/>
        <v>11.118500000000001</v>
      </c>
      <c r="H370" s="552">
        <f t="shared" si="153"/>
        <v>1.4</v>
      </c>
      <c r="I370" s="552">
        <f t="shared" si="153"/>
        <v>0.5</v>
      </c>
      <c r="J370" s="552">
        <f t="shared" si="153"/>
        <v>0</v>
      </c>
      <c r="K370" s="552">
        <f t="shared" si="153"/>
        <v>3.085</v>
      </c>
      <c r="L370" s="552">
        <f t="shared" si="153"/>
        <v>2.2399999999999998</v>
      </c>
      <c r="M370" s="552">
        <f t="shared" si="153"/>
        <v>0</v>
      </c>
      <c r="N370" s="552">
        <f t="shared" si="153"/>
        <v>0</v>
      </c>
      <c r="O370" s="552">
        <f t="shared" si="153"/>
        <v>1.5425</v>
      </c>
      <c r="P370" s="552">
        <f t="shared" si="153"/>
        <v>0</v>
      </c>
      <c r="Q370" s="552">
        <f t="shared" si="153"/>
        <v>0.5</v>
      </c>
      <c r="R370" s="552">
        <f t="shared" si="153"/>
        <v>0</v>
      </c>
      <c r="S370" s="552">
        <f t="shared" si="153"/>
        <v>0</v>
      </c>
      <c r="T370" s="552">
        <f t="shared" si="153"/>
        <v>1.851</v>
      </c>
      <c r="U370" s="552">
        <f t="shared" si="153"/>
        <v>0</v>
      </c>
      <c r="V370" s="552">
        <f t="shared" si="153"/>
        <v>0</v>
      </c>
      <c r="W370" s="552">
        <f t="shared" si="153"/>
        <v>0</v>
      </c>
      <c r="X370" s="552">
        <f t="shared" si="153"/>
        <v>1.3882500000000002</v>
      </c>
      <c r="Y370" s="563">
        <f>ROUNDUP(SUM(Y371:Y372),0)</f>
        <v>325000290</v>
      </c>
      <c r="Z370" s="563"/>
      <c r="AA370" s="867"/>
      <c r="AB370" s="5"/>
      <c r="AC370" s="5"/>
      <c r="AD370" s="5"/>
    </row>
    <row r="371" spans="1:30" ht="15">
      <c r="A371" s="9">
        <v>1</v>
      </c>
      <c r="B371" s="654" t="s">
        <v>560</v>
      </c>
      <c r="C371" s="517"/>
      <c r="D371" s="517"/>
      <c r="E371" s="515">
        <f t="shared" si="151"/>
        <v>7.9567499999999995</v>
      </c>
      <c r="F371" s="513">
        <v>2.67</v>
      </c>
      <c r="G371" s="515">
        <f>SUM(H371:W371)</f>
        <v>4.6185</v>
      </c>
      <c r="H371" s="515">
        <v>0.7</v>
      </c>
      <c r="I371" s="515">
        <v>0.3</v>
      </c>
      <c r="J371" s="515"/>
      <c r="K371" s="515">
        <f>(F371+I371+J371)*0.5</f>
        <v>1.4849999999999999</v>
      </c>
      <c r="L371" s="515"/>
      <c r="M371" s="515"/>
      <c r="N371" s="515"/>
      <c r="O371" s="515">
        <f>(F371+I371+J371+M371)*0.25</f>
        <v>0.7424999999999999</v>
      </c>
      <c r="P371" s="515"/>
      <c r="Q371" s="515">
        <v>0.5</v>
      </c>
      <c r="R371" s="515"/>
      <c r="S371" s="551"/>
      <c r="T371" s="515">
        <f aca="true" t="shared" si="154" ref="T371:T379">(F371+I371+J371)*30%</f>
        <v>0.8909999999999999</v>
      </c>
      <c r="U371" s="515"/>
      <c r="V371" s="515"/>
      <c r="W371" s="515"/>
      <c r="X371" s="515">
        <f>(F371+I371+J371+M371)*0.225</f>
        <v>0.66825</v>
      </c>
      <c r="Y371" s="2">
        <f>E371*1490000*12</f>
        <v>142266690</v>
      </c>
      <c r="Z371" s="2"/>
      <c r="AA371" s="867"/>
      <c r="AB371" s="5"/>
      <c r="AC371" s="5"/>
      <c r="AD371" s="5"/>
    </row>
    <row r="372" spans="1:30" ht="15">
      <c r="A372" s="9">
        <v>2</v>
      </c>
      <c r="B372" s="654" t="s">
        <v>53</v>
      </c>
      <c r="C372" s="517"/>
      <c r="D372" s="517"/>
      <c r="E372" s="515">
        <f t="shared" si="151"/>
        <v>10.22</v>
      </c>
      <c r="F372" s="513">
        <v>3</v>
      </c>
      <c r="G372" s="515">
        <f>SUM(H372:W372)</f>
        <v>6.5</v>
      </c>
      <c r="H372" s="515">
        <v>0.7</v>
      </c>
      <c r="I372" s="515">
        <v>0.2</v>
      </c>
      <c r="J372" s="515"/>
      <c r="K372" s="515">
        <f>(F372+I372+J372)*0.5</f>
        <v>1.6</v>
      </c>
      <c r="L372" s="515">
        <f>0.7*(F372+I372)</f>
        <v>2.2399999999999998</v>
      </c>
      <c r="M372" s="515"/>
      <c r="N372" s="515"/>
      <c r="O372" s="515">
        <f>(F372+I372+J372+M372)*0.25</f>
        <v>0.8</v>
      </c>
      <c r="P372" s="515"/>
      <c r="Q372" s="515"/>
      <c r="R372" s="515"/>
      <c r="S372" s="551"/>
      <c r="T372" s="515">
        <f t="shared" si="154"/>
        <v>0.96</v>
      </c>
      <c r="U372" s="515"/>
      <c r="V372" s="515"/>
      <c r="W372" s="515"/>
      <c r="X372" s="515">
        <f>(F372+I372+J372+M372)*0.225</f>
        <v>0.7200000000000001</v>
      </c>
      <c r="Y372" s="2">
        <f>E372*1490000*12</f>
        <v>182733600.00000003</v>
      </c>
      <c r="Z372" s="2"/>
      <c r="AA372" s="867"/>
      <c r="AB372" s="5"/>
      <c r="AC372" s="5"/>
      <c r="AD372" s="5"/>
    </row>
    <row r="373" spans="1:30" ht="15">
      <c r="A373" s="9" t="s">
        <v>74</v>
      </c>
      <c r="B373" s="10" t="s">
        <v>73</v>
      </c>
      <c r="C373" s="518">
        <v>2</v>
      </c>
      <c r="D373" s="518">
        <v>2</v>
      </c>
      <c r="E373" s="552">
        <f>SUM(E374:E375)</f>
        <v>24.132600000000004</v>
      </c>
      <c r="F373" s="552">
        <f aca="true" t="shared" si="155" ref="F373:X373">SUM(F374:F375)</f>
        <v>7.98</v>
      </c>
      <c r="G373" s="552">
        <f t="shared" si="155"/>
        <v>14.206</v>
      </c>
      <c r="H373" s="552">
        <f t="shared" si="155"/>
        <v>1.4</v>
      </c>
      <c r="I373" s="552">
        <f t="shared" si="155"/>
        <v>0.5</v>
      </c>
      <c r="J373" s="552">
        <f t="shared" si="155"/>
        <v>0</v>
      </c>
      <c r="K373" s="552">
        <f t="shared" si="155"/>
        <v>4.24</v>
      </c>
      <c r="L373" s="552">
        <f t="shared" si="155"/>
        <v>2.702</v>
      </c>
      <c r="M373" s="552">
        <f t="shared" si="155"/>
        <v>0</v>
      </c>
      <c r="N373" s="552">
        <f t="shared" si="155"/>
        <v>0</v>
      </c>
      <c r="O373" s="552">
        <f t="shared" si="155"/>
        <v>2.12</v>
      </c>
      <c r="P373" s="552">
        <f t="shared" si="155"/>
        <v>0</v>
      </c>
      <c r="Q373" s="552">
        <f t="shared" si="155"/>
        <v>0.7</v>
      </c>
      <c r="R373" s="552">
        <f t="shared" si="155"/>
        <v>0</v>
      </c>
      <c r="S373" s="552">
        <f t="shared" si="155"/>
        <v>0</v>
      </c>
      <c r="T373" s="552">
        <f t="shared" si="155"/>
        <v>2.544</v>
      </c>
      <c r="U373" s="552">
        <f t="shared" si="155"/>
        <v>0</v>
      </c>
      <c r="V373" s="552">
        <f t="shared" si="155"/>
        <v>0</v>
      </c>
      <c r="W373" s="552">
        <f t="shared" si="155"/>
        <v>0</v>
      </c>
      <c r="X373" s="552">
        <f t="shared" si="155"/>
        <v>1.9466</v>
      </c>
      <c r="Y373" s="552">
        <f>ROUNDUP(SUM(Y374:Y375),0)</f>
        <v>431490888</v>
      </c>
      <c r="Z373" s="563"/>
      <c r="AA373" s="867"/>
      <c r="AB373" s="5"/>
      <c r="AC373" s="5"/>
      <c r="AD373" s="5"/>
    </row>
    <row r="374" spans="1:30" ht="15">
      <c r="A374" s="9">
        <v>1</v>
      </c>
      <c r="B374" s="654" t="s">
        <v>32</v>
      </c>
      <c r="C374" s="517"/>
      <c r="D374" s="517"/>
      <c r="E374" s="515">
        <f t="shared" si="151"/>
        <v>11.9105</v>
      </c>
      <c r="F374" s="513">
        <v>4.32</v>
      </c>
      <c r="G374" s="515">
        <f>H374+I374+J374+K374+L374+M374+N374+O374+P374+Q374+R374+S374+T374+U374+W374</f>
        <v>6.551</v>
      </c>
      <c r="H374" s="515">
        <v>0.7</v>
      </c>
      <c r="I374" s="515">
        <v>0.3</v>
      </c>
      <c r="J374" s="515"/>
      <c r="K374" s="515">
        <f>(F374+I374+J374)*0.5</f>
        <v>2.31</v>
      </c>
      <c r="L374" s="515"/>
      <c r="M374" s="515"/>
      <c r="N374" s="515"/>
      <c r="O374" s="515">
        <f>(F374+I374+J374+M374)*0.25</f>
        <v>1.155</v>
      </c>
      <c r="P374" s="515"/>
      <c r="Q374" s="515">
        <v>0.7</v>
      </c>
      <c r="R374" s="515"/>
      <c r="S374" s="551"/>
      <c r="T374" s="515">
        <f>(F374+I374+J374)*30%</f>
        <v>1.386</v>
      </c>
      <c r="U374" s="515"/>
      <c r="V374" s="515"/>
      <c r="W374" s="515"/>
      <c r="X374" s="515">
        <f>(F374+I374)*0.225</f>
        <v>1.0395</v>
      </c>
      <c r="Y374" s="2">
        <f>E374*1490000*12</f>
        <v>212959740</v>
      </c>
      <c r="Z374" s="2"/>
      <c r="AA374" s="867"/>
      <c r="AB374" s="5"/>
      <c r="AC374" s="5"/>
      <c r="AD374" s="5"/>
    </row>
    <row r="375" spans="1:30" ht="15">
      <c r="A375" s="11">
        <v>2</v>
      </c>
      <c r="B375" s="654" t="s">
        <v>56</v>
      </c>
      <c r="C375" s="517"/>
      <c r="D375" s="517"/>
      <c r="E375" s="515">
        <f>F375+G375+X375</f>
        <v>12.222100000000001</v>
      </c>
      <c r="F375" s="513">
        <v>3.66</v>
      </c>
      <c r="G375" s="515">
        <f>SUM(H375:W375)</f>
        <v>7.655</v>
      </c>
      <c r="H375" s="515">
        <v>0.7</v>
      </c>
      <c r="I375" s="515">
        <v>0.2</v>
      </c>
      <c r="J375" s="515"/>
      <c r="K375" s="515">
        <f>(F375+I375+J375)*0.5</f>
        <v>1.9300000000000002</v>
      </c>
      <c r="L375" s="515">
        <f>0.7*(F375+I375)</f>
        <v>2.702</v>
      </c>
      <c r="M375" s="515"/>
      <c r="N375" s="515"/>
      <c r="O375" s="515">
        <f>(F375+I375+J375+M375)*0.25</f>
        <v>0.9650000000000001</v>
      </c>
      <c r="P375" s="515"/>
      <c r="Q375" s="515"/>
      <c r="R375" s="515"/>
      <c r="S375" s="551"/>
      <c r="T375" s="515">
        <f t="shared" si="154"/>
        <v>1.1580000000000001</v>
      </c>
      <c r="U375" s="515"/>
      <c r="V375" s="515"/>
      <c r="W375" s="515"/>
      <c r="X375" s="515">
        <f>(F375+I375+J375+M375)*0.235</f>
        <v>0.9071</v>
      </c>
      <c r="Y375" s="2">
        <f>E375*1490000*12</f>
        <v>218531148</v>
      </c>
      <c r="Z375" s="2"/>
      <c r="AA375" s="867"/>
      <c r="AB375" s="5"/>
      <c r="AC375" s="5"/>
      <c r="AD375" s="5"/>
    </row>
    <row r="376" spans="1:30" ht="15">
      <c r="A376" s="9" t="s">
        <v>71</v>
      </c>
      <c r="B376" s="10" t="s">
        <v>70</v>
      </c>
      <c r="C376" s="518">
        <v>3</v>
      </c>
      <c r="D376" s="518">
        <v>2</v>
      </c>
      <c r="E376" s="552">
        <f>E377+E378+E379</f>
        <v>23.847250000000003</v>
      </c>
      <c r="F376" s="552">
        <f>F377+F378+F379</f>
        <v>7.109999999999999</v>
      </c>
      <c r="G376" s="552">
        <f aca="true" t="shared" si="156" ref="G376:X376">G377+G378+G379</f>
        <v>15.092500000000001</v>
      </c>
      <c r="H376" s="552">
        <f t="shared" si="156"/>
        <v>2.0999999999999996</v>
      </c>
      <c r="I376" s="552">
        <f t="shared" si="156"/>
        <v>0.2</v>
      </c>
      <c r="J376" s="552">
        <f t="shared" si="156"/>
        <v>0</v>
      </c>
      <c r="K376" s="552">
        <f t="shared" si="156"/>
        <v>3.6550000000000002</v>
      </c>
      <c r="L376" s="552">
        <f t="shared" si="156"/>
        <v>5.117</v>
      </c>
      <c r="M376" s="552">
        <f t="shared" si="156"/>
        <v>0</v>
      </c>
      <c r="N376" s="552">
        <f t="shared" si="156"/>
        <v>0</v>
      </c>
      <c r="O376" s="552">
        <f t="shared" si="156"/>
        <v>1.8275000000000001</v>
      </c>
      <c r="P376" s="552">
        <f t="shared" si="156"/>
        <v>0</v>
      </c>
      <c r="Q376" s="552">
        <f t="shared" si="156"/>
        <v>0</v>
      </c>
      <c r="R376" s="552">
        <f t="shared" si="156"/>
        <v>0</v>
      </c>
      <c r="S376" s="552">
        <f t="shared" si="156"/>
        <v>0</v>
      </c>
      <c r="T376" s="552">
        <f t="shared" si="156"/>
        <v>2.1929999999999996</v>
      </c>
      <c r="U376" s="552">
        <f t="shared" si="156"/>
        <v>0</v>
      </c>
      <c r="V376" s="552">
        <f t="shared" si="156"/>
        <v>0</v>
      </c>
      <c r="W376" s="552">
        <f t="shared" si="156"/>
        <v>0</v>
      </c>
      <c r="X376" s="552">
        <f t="shared" si="156"/>
        <v>1.6447500000000002</v>
      </c>
      <c r="Y376" s="563">
        <f>ROUNDUP(SUM(Y377:Y379),0)</f>
        <v>426388830</v>
      </c>
      <c r="Z376" s="563"/>
      <c r="AA376" s="867"/>
      <c r="AB376" s="5"/>
      <c r="AC376" s="5"/>
      <c r="AD376" s="5"/>
    </row>
    <row r="377" spans="1:30" ht="15">
      <c r="A377" s="9">
        <v>1</v>
      </c>
      <c r="B377" s="654" t="s">
        <v>561</v>
      </c>
      <c r="C377" s="517"/>
      <c r="D377" s="517"/>
      <c r="E377" s="515">
        <f t="shared" si="151"/>
        <v>7.6615</v>
      </c>
      <c r="F377" s="513">
        <v>2.34</v>
      </c>
      <c r="G377" s="515">
        <f>SUM(H377:W377)</f>
        <v>4.795</v>
      </c>
      <c r="H377" s="515">
        <v>0.7</v>
      </c>
      <c r="I377" s="515"/>
      <c r="J377" s="515"/>
      <c r="K377" s="515">
        <f>(F377+I377+J377)*0.5</f>
        <v>1.17</v>
      </c>
      <c r="L377" s="515">
        <f>0.7*(F377+I377)</f>
        <v>1.638</v>
      </c>
      <c r="M377" s="515"/>
      <c r="N377" s="515"/>
      <c r="O377" s="515">
        <f>(F377+I377+J377+M377)*0.25</f>
        <v>0.585</v>
      </c>
      <c r="P377" s="515"/>
      <c r="Q377" s="515"/>
      <c r="R377" s="515"/>
      <c r="S377" s="551"/>
      <c r="T377" s="515">
        <f t="shared" si="154"/>
        <v>0.702</v>
      </c>
      <c r="U377" s="515"/>
      <c r="V377" s="515"/>
      <c r="W377" s="515"/>
      <c r="X377" s="515">
        <f>(F377+I377+J377+M377)*0.225</f>
        <v>0.5265</v>
      </c>
      <c r="Y377" s="2">
        <f>E377*1490000*12</f>
        <v>136987620</v>
      </c>
      <c r="Z377" s="2"/>
      <c r="AA377" s="867"/>
      <c r="AB377" s="5"/>
      <c r="AC377" s="5"/>
      <c r="AD377" s="5"/>
    </row>
    <row r="378" spans="1:30" ht="15">
      <c r="A378" s="9">
        <v>2</v>
      </c>
      <c r="B378" s="654" t="s">
        <v>22</v>
      </c>
      <c r="C378" s="517"/>
      <c r="D378" s="517"/>
      <c r="E378" s="515">
        <f t="shared" si="151"/>
        <v>7.5425</v>
      </c>
      <c r="F378" s="513">
        <v>2.1</v>
      </c>
      <c r="G378" s="515">
        <f>H378+I378+J378+K378+L378+M378+N378+O378+P378+Q378+R378+S378+T378+U378+W378</f>
        <v>4.925000000000001</v>
      </c>
      <c r="H378" s="515">
        <v>0.7</v>
      </c>
      <c r="I378" s="515">
        <v>0.2</v>
      </c>
      <c r="J378" s="515"/>
      <c r="K378" s="515">
        <f>(F378+I378+J378)*0.5</f>
        <v>1.1500000000000001</v>
      </c>
      <c r="L378" s="515">
        <f>0.7*(F378+I378)</f>
        <v>1.61</v>
      </c>
      <c r="M378" s="515"/>
      <c r="N378" s="515"/>
      <c r="O378" s="515">
        <f>(F378+I378+J378+M378)*0.25</f>
        <v>0.5750000000000001</v>
      </c>
      <c r="P378" s="515"/>
      <c r="Q378" s="515"/>
      <c r="R378" s="515"/>
      <c r="S378" s="551"/>
      <c r="T378" s="515">
        <f t="shared" si="154"/>
        <v>0.6900000000000001</v>
      </c>
      <c r="U378" s="515"/>
      <c r="V378" s="515"/>
      <c r="W378" s="515"/>
      <c r="X378" s="515">
        <f>(F378+I378+J378+M378)*0.225</f>
        <v>0.5175000000000001</v>
      </c>
      <c r="Y378" s="2">
        <f>E378*1490000*12</f>
        <v>134859900</v>
      </c>
      <c r="Z378" s="2"/>
      <c r="AA378" s="867"/>
      <c r="AB378" s="5"/>
      <c r="AC378" s="5"/>
      <c r="AD378" s="5"/>
    </row>
    <row r="379" spans="1:30" ht="15">
      <c r="A379" s="9">
        <v>3</v>
      </c>
      <c r="B379" s="654" t="s">
        <v>93</v>
      </c>
      <c r="C379" s="517"/>
      <c r="D379" s="517"/>
      <c r="E379" s="515">
        <f t="shared" si="151"/>
        <v>8.64325</v>
      </c>
      <c r="F379" s="551">
        <v>2.67</v>
      </c>
      <c r="G379" s="515">
        <f>H379+I379+J379+K379+L379+M379+N379+O379+P379+Q379+R379+S379+T379+U379+W379</f>
        <v>5.3725000000000005</v>
      </c>
      <c r="H379" s="515">
        <v>0.7</v>
      </c>
      <c r="I379" s="515"/>
      <c r="J379" s="515"/>
      <c r="K379" s="515">
        <f>(F379+I379+J379)*0.5</f>
        <v>1.335</v>
      </c>
      <c r="L379" s="515">
        <f>0.7*(F379+I379)</f>
        <v>1.8689999999999998</v>
      </c>
      <c r="M379" s="515"/>
      <c r="N379" s="515"/>
      <c r="O379" s="515">
        <f>(F379+I379+J379+M379)*0.25</f>
        <v>0.6675</v>
      </c>
      <c r="P379" s="515"/>
      <c r="Q379" s="515"/>
      <c r="R379" s="515"/>
      <c r="S379" s="551"/>
      <c r="T379" s="515">
        <f t="shared" si="154"/>
        <v>0.8009999999999999</v>
      </c>
      <c r="U379" s="515"/>
      <c r="V379" s="515"/>
      <c r="W379" s="515"/>
      <c r="X379" s="515">
        <f>(F379+I379+J379+M379)*0.225</f>
        <v>0.60075</v>
      </c>
      <c r="Y379" s="2">
        <f>E379*1490000*12</f>
        <v>154541310</v>
      </c>
      <c r="Z379" s="2"/>
      <c r="AA379" s="867"/>
      <c r="AB379" s="5"/>
      <c r="AC379" s="5"/>
      <c r="AD379" s="5"/>
    </row>
    <row r="380" spans="1:30" ht="15">
      <c r="A380" s="9" t="s">
        <v>68</v>
      </c>
      <c r="B380" s="10" t="s">
        <v>67</v>
      </c>
      <c r="C380" s="518">
        <v>1</v>
      </c>
      <c r="D380" s="518">
        <v>1</v>
      </c>
      <c r="E380" s="552">
        <f aca="true" t="shared" si="157" ref="E380:X380">SUM(E381:E381)</f>
        <v>11.49925</v>
      </c>
      <c r="F380" s="552">
        <f t="shared" si="157"/>
        <v>3.33</v>
      </c>
      <c r="G380" s="552">
        <f t="shared" si="157"/>
        <v>7.352499999999999</v>
      </c>
      <c r="H380" s="552">
        <f t="shared" si="157"/>
        <v>0.7</v>
      </c>
      <c r="I380" s="552">
        <f t="shared" si="157"/>
        <v>0.3</v>
      </c>
      <c r="J380" s="552">
        <f t="shared" si="157"/>
        <v>0</v>
      </c>
      <c r="K380" s="552">
        <f t="shared" si="157"/>
        <v>1.815</v>
      </c>
      <c r="L380" s="552">
        <f t="shared" si="157"/>
        <v>2.541</v>
      </c>
      <c r="M380" s="552">
        <f t="shared" si="157"/>
        <v>0</v>
      </c>
      <c r="N380" s="552">
        <f t="shared" si="157"/>
        <v>0</v>
      </c>
      <c r="O380" s="552">
        <f t="shared" si="157"/>
        <v>0.9075</v>
      </c>
      <c r="P380" s="552">
        <f t="shared" si="157"/>
        <v>0</v>
      </c>
      <c r="Q380" s="552">
        <f t="shared" si="157"/>
        <v>0</v>
      </c>
      <c r="R380" s="552">
        <f t="shared" si="157"/>
        <v>0</v>
      </c>
      <c r="S380" s="552">
        <f t="shared" si="157"/>
        <v>0</v>
      </c>
      <c r="T380" s="552">
        <f t="shared" si="157"/>
        <v>1.089</v>
      </c>
      <c r="U380" s="552">
        <f t="shared" si="157"/>
        <v>0</v>
      </c>
      <c r="V380" s="552">
        <f t="shared" si="157"/>
        <v>0</v>
      </c>
      <c r="W380" s="552">
        <f t="shared" si="157"/>
        <v>0</v>
      </c>
      <c r="X380" s="552">
        <f t="shared" si="157"/>
        <v>0.81675</v>
      </c>
      <c r="Y380" s="552">
        <f>ROUNDUP(SUM(Y381:Y381),0)</f>
        <v>205606590</v>
      </c>
      <c r="Z380" s="563"/>
      <c r="AA380" s="664"/>
      <c r="AB380" s="5"/>
      <c r="AC380" s="5"/>
      <c r="AD380" s="5"/>
    </row>
    <row r="381" spans="1:30" ht="15">
      <c r="A381" s="9">
        <v>1</v>
      </c>
      <c r="B381" s="654" t="s">
        <v>66</v>
      </c>
      <c r="C381" s="517"/>
      <c r="D381" s="517"/>
      <c r="E381" s="515">
        <f>F381+G381+X381</f>
        <v>11.49925</v>
      </c>
      <c r="F381" s="513">
        <v>3.33</v>
      </c>
      <c r="G381" s="515">
        <f>H381+I381+J381+K381+L381+M381+N381+O381+P381+Q381+R381+S381+T381+U381+W381</f>
        <v>7.352499999999999</v>
      </c>
      <c r="H381" s="515">
        <v>0.7</v>
      </c>
      <c r="I381" s="515">
        <v>0.3</v>
      </c>
      <c r="J381" s="515"/>
      <c r="K381" s="515">
        <f>(F381+I381+J381)*0.5</f>
        <v>1.815</v>
      </c>
      <c r="L381" s="515">
        <f>0.7*(F381+I381)</f>
        <v>2.541</v>
      </c>
      <c r="M381" s="515"/>
      <c r="N381" s="515"/>
      <c r="O381" s="515">
        <f>(F381+I381+J381+M381)*0.25</f>
        <v>0.9075</v>
      </c>
      <c r="P381" s="515"/>
      <c r="Q381" s="515"/>
      <c r="R381" s="515"/>
      <c r="S381" s="551"/>
      <c r="T381" s="515">
        <f>(F381+I381+J381)*30%</f>
        <v>1.089</v>
      </c>
      <c r="U381" s="515"/>
      <c r="V381" s="515"/>
      <c r="W381" s="515"/>
      <c r="X381" s="515">
        <f>(F381+I381)*0.225</f>
        <v>0.81675</v>
      </c>
      <c r="Y381" s="2">
        <f>E381*1490000*12</f>
        <v>205606590</v>
      </c>
      <c r="Z381" s="2">
        <v>14603490</v>
      </c>
      <c r="AA381" s="664"/>
      <c r="AB381" s="5"/>
      <c r="AC381" s="5"/>
      <c r="AD381" s="5"/>
    </row>
    <row r="382" spans="1:30" ht="25.5">
      <c r="A382" s="665" t="s">
        <v>7</v>
      </c>
      <c r="B382" s="666" t="s">
        <v>65</v>
      </c>
      <c r="C382" s="518"/>
      <c r="D382" s="518"/>
      <c r="E382" s="552">
        <f>+E383</f>
        <v>12.000000000000005</v>
      </c>
      <c r="F382" s="552">
        <f aca="true" t="shared" si="158" ref="F382:Y382">+F383</f>
        <v>0</v>
      </c>
      <c r="G382" s="552">
        <f t="shared" si="158"/>
        <v>12.000000000000005</v>
      </c>
      <c r="H382" s="552">
        <f t="shared" si="158"/>
        <v>0</v>
      </c>
      <c r="I382" s="552">
        <f t="shared" si="158"/>
        <v>0</v>
      </c>
      <c r="J382" s="552">
        <f t="shared" si="158"/>
        <v>0</v>
      </c>
      <c r="K382" s="552">
        <f t="shared" si="158"/>
        <v>0</v>
      </c>
      <c r="L382" s="552">
        <f t="shared" si="158"/>
        <v>0</v>
      </c>
      <c r="M382" s="552">
        <f t="shared" si="158"/>
        <v>0</v>
      </c>
      <c r="N382" s="552">
        <f t="shared" si="158"/>
        <v>0</v>
      </c>
      <c r="O382" s="552">
        <f t="shared" si="158"/>
        <v>0</v>
      </c>
      <c r="P382" s="552">
        <f t="shared" si="158"/>
        <v>0</v>
      </c>
      <c r="Q382" s="552">
        <f t="shared" si="158"/>
        <v>0</v>
      </c>
      <c r="R382" s="552">
        <f t="shared" si="158"/>
        <v>0</v>
      </c>
      <c r="S382" s="552">
        <f t="shared" si="158"/>
        <v>12.000000000000005</v>
      </c>
      <c r="T382" s="552">
        <f t="shared" si="158"/>
        <v>0</v>
      </c>
      <c r="U382" s="552">
        <f t="shared" si="158"/>
        <v>0</v>
      </c>
      <c r="V382" s="552">
        <f t="shared" si="158"/>
        <v>0</v>
      </c>
      <c r="W382" s="552">
        <f t="shared" si="158"/>
        <v>0</v>
      </c>
      <c r="X382" s="552">
        <f t="shared" si="158"/>
        <v>0</v>
      </c>
      <c r="Y382" s="552">
        <f t="shared" si="158"/>
        <v>214560000</v>
      </c>
      <c r="Z382" s="563"/>
      <c r="AA382" s="5"/>
      <c r="AB382" s="5"/>
      <c r="AC382" s="5"/>
      <c r="AD382" s="5"/>
    </row>
    <row r="383" spans="1:30" ht="15">
      <c r="A383" s="667"/>
      <c r="B383" s="666" t="s">
        <v>64</v>
      </c>
      <c r="C383" s="518"/>
      <c r="D383" s="518"/>
      <c r="E383" s="515">
        <f>E384</f>
        <v>12.000000000000005</v>
      </c>
      <c r="F383" s="515">
        <f aca="true" t="shared" si="159" ref="F383:Y383">F384</f>
        <v>0</v>
      </c>
      <c r="G383" s="515">
        <f t="shared" si="159"/>
        <v>12.000000000000005</v>
      </c>
      <c r="H383" s="515">
        <f t="shared" si="159"/>
        <v>0</v>
      </c>
      <c r="I383" s="515">
        <f t="shared" si="159"/>
        <v>0</v>
      </c>
      <c r="J383" s="515">
        <f t="shared" si="159"/>
        <v>0</v>
      </c>
      <c r="K383" s="515">
        <f t="shared" si="159"/>
        <v>0</v>
      </c>
      <c r="L383" s="515">
        <f t="shared" si="159"/>
        <v>0</v>
      </c>
      <c r="M383" s="515">
        <f t="shared" si="159"/>
        <v>0</v>
      </c>
      <c r="N383" s="515">
        <f t="shared" si="159"/>
        <v>0</v>
      </c>
      <c r="O383" s="515">
        <f t="shared" si="159"/>
        <v>0</v>
      </c>
      <c r="P383" s="515">
        <f t="shared" si="159"/>
        <v>0</v>
      </c>
      <c r="Q383" s="515">
        <f t="shared" si="159"/>
        <v>0</v>
      </c>
      <c r="R383" s="515">
        <f t="shared" si="159"/>
        <v>0</v>
      </c>
      <c r="S383" s="515">
        <f t="shared" si="159"/>
        <v>12.000000000000005</v>
      </c>
      <c r="T383" s="515">
        <f t="shared" si="159"/>
        <v>0</v>
      </c>
      <c r="U383" s="515">
        <f t="shared" si="159"/>
        <v>0</v>
      </c>
      <c r="V383" s="515"/>
      <c r="W383" s="515">
        <f t="shared" si="159"/>
        <v>0</v>
      </c>
      <c r="X383" s="515">
        <f t="shared" si="159"/>
        <v>0</v>
      </c>
      <c r="Y383" s="2">
        <f t="shared" si="159"/>
        <v>214560000</v>
      </c>
      <c r="Z383" s="563"/>
      <c r="AA383" s="5"/>
      <c r="AB383" s="5"/>
      <c r="AC383" s="5"/>
      <c r="AD383" s="5"/>
    </row>
    <row r="384" spans="1:30" ht="15">
      <c r="A384" s="667">
        <v>1</v>
      </c>
      <c r="B384" s="666" t="s">
        <v>63</v>
      </c>
      <c r="C384" s="518">
        <v>30</v>
      </c>
      <c r="D384" s="518">
        <v>30</v>
      </c>
      <c r="E384" s="552">
        <f>SUM(E385:E414)</f>
        <v>12.000000000000005</v>
      </c>
      <c r="F384" s="647">
        <f aca="true" t="shared" si="160" ref="F384:U384">SUM(F385:F414)</f>
        <v>0</v>
      </c>
      <c r="G384" s="552">
        <f t="shared" si="160"/>
        <v>12.000000000000005</v>
      </c>
      <c r="H384" s="552">
        <f t="shared" si="160"/>
        <v>0</v>
      </c>
      <c r="I384" s="552">
        <f t="shared" si="160"/>
        <v>0</v>
      </c>
      <c r="J384" s="552">
        <f t="shared" si="160"/>
        <v>0</v>
      </c>
      <c r="K384" s="552">
        <f t="shared" si="160"/>
        <v>0</v>
      </c>
      <c r="L384" s="552">
        <f t="shared" si="160"/>
        <v>0</v>
      </c>
      <c r="M384" s="552">
        <f t="shared" si="160"/>
        <v>0</v>
      </c>
      <c r="N384" s="552">
        <f t="shared" si="160"/>
        <v>0</v>
      </c>
      <c r="O384" s="552">
        <f t="shared" si="160"/>
        <v>0</v>
      </c>
      <c r="P384" s="552">
        <f t="shared" si="160"/>
        <v>0</v>
      </c>
      <c r="Q384" s="552">
        <f t="shared" si="160"/>
        <v>0</v>
      </c>
      <c r="R384" s="552">
        <f t="shared" si="160"/>
        <v>0</v>
      </c>
      <c r="S384" s="647">
        <f t="shared" si="160"/>
        <v>12.000000000000005</v>
      </c>
      <c r="T384" s="552">
        <f t="shared" si="160"/>
        <v>0</v>
      </c>
      <c r="U384" s="552">
        <f t="shared" si="160"/>
        <v>0</v>
      </c>
      <c r="V384" s="552"/>
      <c r="W384" s="552">
        <f>SUM(W385:W414)</f>
        <v>0</v>
      </c>
      <c r="X384" s="552">
        <f>SUM(X385:X414)</f>
        <v>0</v>
      </c>
      <c r="Y384" s="563">
        <f>SUM(Y385:Y414)</f>
        <v>214560000</v>
      </c>
      <c r="Z384" s="563"/>
      <c r="AA384" s="5"/>
      <c r="AB384" s="5"/>
      <c r="AC384" s="5"/>
      <c r="AD384" s="5"/>
    </row>
    <row r="385" spans="1:30" ht="15.75">
      <c r="A385" s="668">
        <v>1</v>
      </c>
      <c r="B385" s="669" t="s">
        <v>562</v>
      </c>
      <c r="C385" s="517"/>
      <c r="D385" s="517"/>
      <c r="E385" s="515">
        <f aca="true" t="shared" si="161" ref="E385:E414">F385+G385+X385</f>
        <v>0.4</v>
      </c>
      <c r="F385" s="551"/>
      <c r="G385" s="515">
        <f aca="true" t="shared" si="162" ref="G385:G414">H385+I385+J385+K385+L385+M385+N385+O385+P385+Q385+R385+S385+T385+U385+W385</f>
        <v>0.4</v>
      </c>
      <c r="H385" s="515"/>
      <c r="I385" s="515"/>
      <c r="J385" s="515"/>
      <c r="K385" s="515"/>
      <c r="L385" s="515"/>
      <c r="M385" s="515"/>
      <c r="N385" s="515"/>
      <c r="O385" s="515"/>
      <c r="P385" s="515"/>
      <c r="Q385" s="515"/>
      <c r="R385" s="515"/>
      <c r="S385" s="551">
        <v>0.4</v>
      </c>
      <c r="T385" s="515"/>
      <c r="U385" s="515"/>
      <c r="V385" s="515"/>
      <c r="W385" s="515"/>
      <c r="X385" s="515"/>
      <c r="Y385" s="2">
        <f>E385*1490000*12</f>
        <v>7152000</v>
      </c>
      <c r="Z385" s="2"/>
      <c r="AA385" s="8"/>
      <c r="AB385" s="8"/>
      <c r="AC385" s="8"/>
      <c r="AD385" s="8"/>
    </row>
    <row r="386" spans="1:30" ht="15.75">
      <c r="A386" s="668">
        <v>2</v>
      </c>
      <c r="B386" s="670" t="s">
        <v>36</v>
      </c>
      <c r="C386" s="517"/>
      <c r="D386" s="517"/>
      <c r="E386" s="515">
        <f t="shared" si="161"/>
        <v>0.4</v>
      </c>
      <c r="F386" s="551"/>
      <c r="G386" s="515">
        <f t="shared" si="162"/>
        <v>0.4</v>
      </c>
      <c r="H386" s="515"/>
      <c r="I386" s="515"/>
      <c r="J386" s="515"/>
      <c r="K386" s="515"/>
      <c r="L386" s="515"/>
      <c r="M386" s="515"/>
      <c r="N386" s="515"/>
      <c r="O386" s="515"/>
      <c r="P386" s="515"/>
      <c r="Q386" s="515"/>
      <c r="R386" s="515"/>
      <c r="S386" s="551">
        <v>0.4</v>
      </c>
      <c r="T386" s="515"/>
      <c r="U386" s="515"/>
      <c r="V386" s="515"/>
      <c r="W386" s="515"/>
      <c r="X386" s="515"/>
      <c r="Y386" s="2">
        <f aca="true" t="shared" si="163" ref="Y386:Y414">E386*1490000*12</f>
        <v>7152000</v>
      </c>
      <c r="Z386" s="2"/>
      <c r="AA386" s="8"/>
      <c r="AB386" s="8"/>
      <c r="AC386" s="8"/>
      <c r="AD386" s="8"/>
    </row>
    <row r="387" spans="1:30" ht="15.75">
      <c r="A387" s="668">
        <v>3</v>
      </c>
      <c r="B387" s="670" t="s">
        <v>43</v>
      </c>
      <c r="C387" s="517"/>
      <c r="D387" s="517"/>
      <c r="E387" s="515">
        <f t="shared" si="161"/>
        <v>0.4</v>
      </c>
      <c r="F387" s="551"/>
      <c r="G387" s="515">
        <f t="shared" si="162"/>
        <v>0.4</v>
      </c>
      <c r="H387" s="515"/>
      <c r="I387" s="515"/>
      <c r="J387" s="515"/>
      <c r="K387" s="515"/>
      <c r="L387" s="515"/>
      <c r="M387" s="515"/>
      <c r="N387" s="515"/>
      <c r="O387" s="515"/>
      <c r="P387" s="515"/>
      <c r="Q387" s="515"/>
      <c r="R387" s="515"/>
      <c r="S387" s="551">
        <v>0.4</v>
      </c>
      <c r="T387" s="515"/>
      <c r="U387" s="515"/>
      <c r="V387" s="515"/>
      <c r="W387" s="515"/>
      <c r="X387" s="515"/>
      <c r="Y387" s="2">
        <f t="shared" si="163"/>
        <v>7152000</v>
      </c>
      <c r="Z387" s="2"/>
      <c r="AA387" s="8"/>
      <c r="AB387" s="8"/>
      <c r="AC387" s="8"/>
      <c r="AD387" s="8"/>
    </row>
    <row r="388" spans="1:30" ht="15.75">
      <c r="A388" s="668">
        <v>4</v>
      </c>
      <c r="B388" s="670" t="s">
        <v>38</v>
      </c>
      <c r="C388" s="517"/>
      <c r="D388" s="517"/>
      <c r="E388" s="515">
        <f t="shared" si="161"/>
        <v>0.4</v>
      </c>
      <c r="F388" s="551"/>
      <c r="G388" s="515">
        <f t="shared" si="162"/>
        <v>0.4</v>
      </c>
      <c r="H388" s="515"/>
      <c r="I388" s="515"/>
      <c r="J388" s="515"/>
      <c r="K388" s="515"/>
      <c r="L388" s="515"/>
      <c r="M388" s="515"/>
      <c r="N388" s="515"/>
      <c r="O388" s="515"/>
      <c r="P388" s="515"/>
      <c r="Q388" s="515"/>
      <c r="R388" s="515"/>
      <c r="S388" s="551">
        <v>0.4</v>
      </c>
      <c r="T388" s="515"/>
      <c r="U388" s="515"/>
      <c r="V388" s="515"/>
      <c r="W388" s="515"/>
      <c r="X388" s="515"/>
      <c r="Y388" s="2">
        <f t="shared" si="163"/>
        <v>7152000</v>
      </c>
      <c r="Z388" s="2"/>
      <c r="AA388" s="8"/>
      <c r="AB388" s="8"/>
      <c r="AC388" s="8"/>
      <c r="AD388" s="8"/>
    </row>
    <row r="389" spans="1:30" ht="15.75">
      <c r="A389" s="668">
        <v>5</v>
      </c>
      <c r="B389" s="670" t="s">
        <v>563</v>
      </c>
      <c r="C389" s="517"/>
      <c r="D389" s="517"/>
      <c r="E389" s="515">
        <f t="shared" si="161"/>
        <v>0.4</v>
      </c>
      <c r="F389" s="551"/>
      <c r="G389" s="515">
        <f t="shared" si="162"/>
        <v>0.4</v>
      </c>
      <c r="H389" s="515"/>
      <c r="I389" s="515"/>
      <c r="J389" s="515"/>
      <c r="K389" s="515"/>
      <c r="L389" s="515"/>
      <c r="M389" s="515"/>
      <c r="N389" s="515"/>
      <c r="O389" s="515"/>
      <c r="P389" s="515"/>
      <c r="Q389" s="515"/>
      <c r="R389" s="515"/>
      <c r="S389" s="551">
        <v>0.4</v>
      </c>
      <c r="T389" s="515"/>
      <c r="U389" s="515"/>
      <c r="V389" s="515"/>
      <c r="W389" s="515"/>
      <c r="X389" s="515"/>
      <c r="Y389" s="2">
        <f t="shared" si="163"/>
        <v>7152000</v>
      </c>
      <c r="Z389" s="2"/>
      <c r="AA389" s="8"/>
      <c r="AB389" s="8"/>
      <c r="AC389" s="8"/>
      <c r="AD389" s="8"/>
    </row>
    <row r="390" spans="1:30" ht="15.75">
      <c r="A390" s="668">
        <v>6</v>
      </c>
      <c r="B390" s="670" t="s">
        <v>34</v>
      </c>
      <c r="C390" s="517"/>
      <c r="D390" s="517"/>
      <c r="E390" s="515">
        <f t="shared" si="161"/>
        <v>0.4</v>
      </c>
      <c r="F390" s="551"/>
      <c r="G390" s="515">
        <f t="shared" si="162"/>
        <v>0.4</v>
      </c>
      <c r="H390" s="515"/>
      <c r="I390" s="515"/>
      <c r="J390" s="515"/>
      <c r="K390" s="515"/>
      <c r="L390" s="515"/>
      <c r="M390" s="515"/>
      <c r="N390" s="515"/>
      <c r="O390" s="515"/>
      <c r="P390" s="515"/>
      <c r="Q390" s="515"/>
      <c r="R390" s="515"/>
      <c r="S390" s="551">
        <v>0.4</v>
      </c>
      <c r="T390" s="515"/>
      <c r="U390" s="515"/>
      <c r="V390" s="515"/>
      <c r="W390" s="515"/>
      <c r="X390" s="515"/>
      <c r="Y390" s="2">
        <f t="shared" si="163"/>
        <v>7152000</v>
      </c>
      <c r="Z390" s="2"/>
      <c r="AA390" s="8"/>
      <c r="AB390" s="8"/>
      <c r="AC390" s="8"/>
      <c r="AD390" s="8"/>
    </row>
    <row r="391" spans="1:30" ht="15.75">
      <c r="A391" s="668">
        <v>7</v>
      </c>
      <c r="B391" s="670" t="s">
        <v>26</v>
      </c>
      <c r="C391" s="517"/>
      <c r="D391" s="517"/>
      <c r="E391" s="515">
        <f t="shared" si="161"/>
        <v>0.4</v>
      </c>
      <c r="F391" s="551"/>
      <c r="G391" s="515">
        <f t="shared" si="162"/>
        <v>0.4</v>
      </c>
      <c r="H391" s="515"/>
      <c r="I391" s="515"/>
      <c r="J391" s="515"/>
      <c r="K391" s="515"/>
      <c r="L391" s="515"/>
      <c r="M391" s="515"/>
      <c r="N391" s="515"/>
      <c r="O391" s="515"/>
      <c r="P391" s="515"/>
      <c r="Q391" s="515"/>
      <c r="R391" s="515"/>
      <c r="S391" s="551">
        <v>0.4</v>
      </c>
      <c r="T391" s="515"/>
      <c r="U391" s="515"/>
      <c r="V391" s="515"/>
      <c r="W391" s="515"/>
      <c r="X391" s="515"/>
      <c r="Y391" s="2">
        <f t="shared" si="163"/>
        <v>7152000</v>
      </c>
      <c r="Z391" s="2"/>
      <c r="AA391" s="8"/>
      <c r="AB391" s="8"/>
      <c r="AC391" s="8"/>
      <c r="AD391" s="8"/>
    </row>
    <row r="392" spans="1:30" ht="15.75">
      <c r="A392" s="668">
        <v>8</v>
      </c>
      <c r="B392" s="670" t="s">
        <v>61</v>
      </c>
      <c r="C392" s="517"/>
      <c r="D392" s="517"/>
      <c r="E392" s="515">
        <f t="shared" si="161"/>
        <v>0.4</v>
      </c>
      <c r="F392" s="551"/>
      <c r="G392" s="515">
        <f t="shared" si="162"/>
        <v>0.4</v>
      </c>
      <c r="H392" s="515"/>
      <c r="I392" s="515"/>
      <c r="J392" s="515"/>
      <c r="K392" s="515"/>
      <c r="L392" s="515"/>
      <c r="M392" s="515"/>
      <c r="N392" s="515"/>
      <c r="O392" s="515"/>
      <c r="P392" s="515"/>
      <c r="Q392" s="515"/>
      <c r="R392" s="515"/>
      <c r="S392" s="551">
        <v>0.4</v>
      </c>
      <c r="T392" s="515"/>
      <c r="U392" s="515"/>
      <c r="V392" s="515"/>
      <c r="W392" s="515"/>
      <c r="X392" s="515"/>
      <c r="Y392" s="2">
        <f t="shared" si="163"/>
        <v>7152000</v>
      </c>
      <c r="Z392" s="2"/>
      <c r="AA392" s="8"/>
      <c r="AB392" s="8"/>
      <c r="AC392" s="8"/>
      <c r="AD392" s="8"/>
    </row>
    <row r="393" spans="1:30" ht="15.75">
      <c r="A393" s="668">
        <v>9</v>
      </c>
      <c r="B393" s="670" t="s">
        <v>91</v>
      </c>
      <c r="C393" s="517"/>
      <c r="D393" s="517"/>
      <c r="E393" s="515">
        <f t="shared" si="161"/>
        <v>0.4</v>
      </c>
      <c r="F393" s="551"/>
      <c r="G393" s="515">
        <f t="shared" si="162"/>
        <v>0.4</v>
      </c>
      <c r="H393" s="515"/>
      <c r="I393" s="515"/>
      <c r="J393" s="515"/>
      <c r="K393" s="515"/>
      <c r="L393" s="515"/>
      <c r="M393" s="515"/>
      <c r="N393" s="515"/>
      <c r="O393" s="515"/>
      <c r="P393" s="515"/>
      <c r="Q393" s="515"/>
      <c r="R393" s="515"/>
      <c r="S393" s="551">
        <v>0.4</v>
      </c>
      <c r="T393" s="515"/>
      <c r="U393" s="515"/>
      <c r="V393" s="515"/>
      <c r="W393" s="515"/>
      <c r="X393" s="515"/>
      <c r="Y393" s="2">
        <f t="shared" si="163"/>
        <v>7152000</v>
      </c>
      <c r="Z393" s="2"/>
      <c r="AA393" s="8"/>
      <c r="AB393" s="8"/>
      <c r="AC393" s="8"/>
      <c r="AD393" s="8"/>
    </row>
    <row r="394" spans="1:30" ht="15.75">
      <c r="A394" s="668">
        <v>10</v>
      </c>
      <c r="B394" s="670" t="s">
        <v>110</v>
      </c>
      <c r="C394" s="517"/>
      <c r="D394" s="517"/>
      <c r="E394" s="515">
        <f t="shared" si="161"/>
        <v>0.4</v>
      </c>
      <c r="F394" s="551"/>
      <c r="G394" s="515">
        <f t="shared" si="162"/>
        <v>0.4</v>
      </c>
      <c r="H394" s="515"/>
      <c r="I394" s="515"/>
      <c r="J394" s="515"/>
      <c r="K394" s="515"/>
      <c r="L394" s="515"/>
      <c r="M394" s="515"/>
      <c r="N394" s="515"/>
      <c r="O394" s="515"/>
      <c r="P394" s="515"/>
      <c r="Q394" s="515"/>
      <c r="R394" s="515"/>
      <c r="S394" s="551">
        <v>0.4</v>
      </c>
      <c r="T394" s="515"/>
      <c r="U394" s="515"/>
      <c r="V394" s="515"/>
      <c r="W394" s="515"/>
      <c r="X394" s="515"/>
      <c r="Y394" s="2">
        <f t="shared" si="163"/>
        <v>7152000</v>
      </c>
      <c r="Z394" s="2"/>
      <c r="AA394" s="8"/>
      <c r="AB394" s="8"/>
      <c r="AC394" s="8"/>
      <c r="AD394" s="8"/>
    </row>
    <row r="395" spans="1:30" ht="15.75">
      <c r="A395" s="668">
        <v>11</v>
      </c>
      <c r="B395" s="670" t="s">
        <v>93</v>
      </c>
      <c r="C395" s="517"/>
      <c r="D395" s="517"/>
      <c r="E395" s="515">
        <f t="shared" si="161"/>
        <v>0.4</v>
      </c>
      <c r="F395" s="551"/>
      <c r="G395" s="515">
        <f t="shared" si="162"/>
        <v>0.4</v>
      </c>
      <c r="H395" s="515"/>
      <c r="I395" s="515"/>
      <c r="J395" s="515"/>
      <c r="K395" s="515"/>
      <c r="L395" s="515"/>
      <c r="M395" s="515"/>
      <c r="N395" s="515"/>
      <c r="O395" s="515"/>
      <c r="P395" s="515"/>
      <c r="Q395" s="515"/>
      <c r="R395" s="515"/>
      <c r="S395" s="551">
        <v>0.4</v>
      </c>
      <c r="T395" s="515"/>
      <c r="U395" s="515"/>
      <c r="V395" s="515"/>
      <c r="W395" s="515"/>
      <c r="X395" s="515"/>
      <c r="Y395" s="2">
        <f t="shared" si="163"/>
        <v>7152000</v>
      </c>
      <c r="Z395" s="2"/>
      <c r="AA395" s="8"/>
      <c r="AB395" s="8"/>
      <c r="AC395" s="8"/>
      <c r="AD395" s="8"/>
    </row>
    <row r="396" spans="1:30" ht="15.75">
      <c r="A396" s="668">
        <v>12</v>
      </c>
      <c r="B396" s="670" t="s">
        <v>564</v>
      </c>
      <c r="C396" s="517"/>
      <c r="D396" s="517"/>
      <c r="E396" s="515">
        <f t="shared" si="161"/>
        <v>0.4</v>
      </c>
      <c r="F396" s="551"/>
      <c r="G396" s="515">
        <f t="shared" si="162"/>
        <v>0.4</v>
      </c>
      <c r="H396" s="515"/>
      <c r="I396" s="515"/>
      <c r="J396" s="515"/>
      <c r="K396" s="515"/>
      <c r="L396" s="515"/>
      <c r="M396" s="515"/>
      <c r="N396" s="515"/>
      <c r="O396" s="515"/>
      <c r="P396" s="515"/>
      <c r="Q396" s="515"/>
      <c r="R396" s="515"/>
      <c r="S396" s="551">
        <v>0.4</v>
      </c>
      <c r="T396" s="515"/>
      <c r="U396" s="515"/>
      <c r="V396" s="515"/>
      <c r="W396" s="515"/>
      <c r="X396" s="515"/>
      <c r="Y396" s="2">
        <f t="shared" si="163"/>
        <v>7152000</v>
      </c>
      <c r="Z396" s="2"/>
      <c r="AA396" s="8"/>
      <c r="AB396" s="8"/>
      <c r="AC396" s="8"/>
      <c r="AD396" s="8"/>
    </row>
    <row r="397" spans="1:30" ht="15.75">
      <c r="A397" s="668">
        <v>13</v>
      </c>
      <c r="B397" s="670" t="s">
        <v>33</v>
      </c>
      <c r="C397" s="517"/>
      <c r="D397" s="517"/>
      <c r="E397" s="515">
        <f t="shared" si="161"/>
        <v>0.4</v>
      </c>
      <c r="F397" s="551"/>
      <c r="G397" s="515">
        <f t="shared" si="162"/>
        <v>0.4</v>
      </c>
      <c r="H397" s="515"/>
      <c r="I397" s="515"/>
      <c r="J397" s="515"/>
      <c r="K397" s="515"/>
      <c r="L397" s="515"/>
      <c r="M397" s="515"/>
      <c r="N397" s="515"/>
      <c r="O397" s="515"/>
      <c r="P397" s="515"/>
      <c r="Q397" s="515"/>
      <c r="R397" s="515"/>
      <c r="S397" s="551">
        <v>0.4</v>
      </c>
      <c r="T397" s="515"/>
      <c r="U397" s="515"/>
      <c r="V397" s="515"/>
      <c r="W397" s="515"/>
      <c r="X397" s="515"/>
      <c r="Y397" s="2">
        <f t="shared" si="163"/>
        <v>7152000</v>
      </c>
      <c r="Z397" s="2"/>
      <c r="AA397" s="8"/>
      <c r="AB397" s="8"/>
      <c r="AC397" s="8"/>
      <c r="AD397" s="8"/>
    </row>
    <row r="398" spans="1:30" ht="15.75">
      <c r="A398" s="668">
        <v>14</v>
      </c>
      <c r="B398" s="670" t="s">
        <v>32</v>
      </c>
      <c r="C398" s="517"/>
      <c r="D398" s="517"/>
      <c r="E398" s="515">
        <f t="shared" si="161"/>
        <v>0.4</v>
      </c>
      <c r="F398" s="551"/>
      <c r="G398" s="515">
        <f t="shared" si="162"/>
        <v>0.4</v>
      </c>
      <c r="H398" s="515"/>
      <c r="I398" s="515"/>
      <c r="J398" s="515"/>
      <c r="K398" s="515"/>
      <c r="L398" s="515"/>
      <c r="M398" s="515"/>
      <c r="N398" s="515"/>
      <c r="O398" s="515"/>
      <c r="P398" s="515"/>
      <c r="Q398" s="515"/>
      <c r="R398" s="515"/>
      <c r="S398" s="551">
        <v>0.4</v>
      </c>
      <c r="T398" s="515"/>
      <c r="U398" s="515"/>
      <c r="V398" s="515"/>
      <c r="W398" s="515"/>
      <c r="X398" s="515"/>
      <c r="Y398" s="2">
        <f t="shared" si="163"/>
        <v>7152000</v>
      </c>
      <c r="Z398" s="2"/>
      <c r="AA398" s="8"/>
      <c r="AB398" s="8"/>
      <c r="AC398" s="8"/>
      <c r="AD398" s="8"/>
    </row>
    <row r="399" spans="1:30" ht="15.75">
      <c r="A399" s="668">
        <v>15</v>
      </c>
      <c r="B399" s="670" t="s">
        <v>27</v>
      </c>
      <c r="C399" s="517"/>
      <c r="D399" s="517"/>
      <c r="E399" s="515">
        <f t="shared" si="161"/>
        <v>0.4</v>
      </c>
      <c r="F399" s="551"/>
      <c r="G399" s="515">
        <f t="shared" si="162"/>
        <v>0.4</v>
      </c>
      <c r="H399" s="515"/>
      <c r="I399" s="515"/>
      <c r="J399" s="515"/>
      <c r="K399" s="515"/>
      <c r="L399" s="515"/>
      <c r="M399" s="515"/>
      <c r="N399" s="515"/>
      <c r="O399" s="515"/>
      <c r="P399" s="515"/>
      <c r="Q399" s="515"/>
      <c r="R399" s="515"/>
      <c r="S399" s="551">
        <v>0.4</v>
      </c>
      <c r="T399" s="515"/>
      <c r="U399" s="515"/>
      <c r="V399" s="515"/>
      <c r="W399" s="515"/>
      <c r="X399" s="515"/>
      <c r="Y399" s="2">
        <f t="shared" si="163"/>
        <v>7152000</v>
      </c>
      <c r="Z399" s="2"/>
      <c r="AA399" s="8"/>
      <c r="AB399" s="8"/>
      <c r="AC399" s="8"/>
      <c r="AD399" s="8"/>
    </row>
    <row r="400" spans="1:30" ht="15.75">
      <c r="A400" s="668">
        <v>16</v>
      </c>
      <c r="B400" s="670" t="s">
        <v>21</v>
      </c>
      <c r="C400" s="517"/>
      <c r="D400" s="517"/>
      <c r="E400" s="515">
        <f t="shared" si="161"/>
        <v>0.4</v>
      </c>
      <c r="F400" s="551"/>
      <c r="G400" s="515">
        <f t="shared" si="162"/>
        <v>0.4</v>
      </c>
      <c r="H400" s="515"/>
      <c r="I400" s="515"/>
      <c r="J400" s="515"/>
      <c r="K400" s="515"/>
      <c r="L400" s="515"/>
      <c r="M400" s="515"/>
      <c r="N400" s="515"/>
      <c r="O400" s="515"/>
      <c r="P400" s="515"/>
      <c r="Q400" s="515"/>
      <c r="R400" s="515"/>
      <c r="S400" s="551">
        <v>0.4</v>
      </c>
      <c r="T400" s="515"/>
      <c r="U400" s="515"/>
      <c r="V400" s="515"/>
      <c r="W400" s="515"/>
      <c r="X400" s="515"/>
      <c r="Y400" s="2">
        <f t="shared" si="163"/>
        <v>7152000</v>
      </c>
      <c r="Z400" s="2"/>
      <c r="AA400" s="8"/>
      <c r="AB400" s="8"/>
      <c r="AC400" s="8"/>
      <c r="AD400" s="8"/>
    </row>
    <row r="401" spans="1:30" ht="15.75">
      <c r="A401" s="668">
        <v>17</v>
      </c>
      <c r="B401" s="670" t="s">
        <v>58</v>
      </c>
      <c r="C401" s="517"/>
      <c r="D401" s="517"/>
      <c r="E401" s="515">
        <f t="shared" si="161"/>
        <v>0.4</v>
      </c>
      <c r="F401" s="551"/>
      <c r="G401" s="515">
        <f t="shared" si="162"/>
        <v>0.4</v>
      </c>
      <c r="H401" s="515"/>
      <c r="I401" s="515"/>
      <c r="J401" s="515"/>
      <c r="K401" s="515"/>
      <c r="L401" s="515"/>
      <c r="M401" s="515"/>
      <c r="N401" s="515"/>
      <c r="O401" s="515"/>
      <c r="P401" s="515"/>
      <c r="Q401" s="515"/>
      <c r="R401" s="515"/>
      <c r="S401" s="551">
        <v>0.4</v>
      </c>
      <c r="T401" s="515"/>
      <c r="U401" s="515"/>
      <c r="V401" s="515"/>
      <c r="W401" s="515"/>
      <c r="X401" s="515"/>
      <c r="Y401" s="2">
        <f t="shared" si="163"/>
        <v>7152000</v>
      </c>
      <c r="Z401" s="2"/>
      <c r="AA401" s="8"/>
      <c r="AB401" s="8"/>
      <c r="AC401" s="8"/>
      <c r="AD401" s="8"/>
    </row>
    <row r="402" spans="1:30" ht="15.75">
      <c r="A402" s="668">
        <v>18</v>
      </c>
      <c r="B402" s="670" t="s">
        <v>23</v>
      </c>
      <c r="C402" s="517"/>
      <c r="D402" s="517"/>
      <c r="E402" s="515">
        <f t="shared" si="161"/>
        <v>0.4</v>
      </c>
      <c r="F402" s="551"/>
      <c r="G402" s="515">
        <f t="shared" si="162"/>
        <v>0.4</v>
      </c>
      <c r="H402" s="515"/>
      <c r="I402" s="515"/>
      <c r="J402" s="515"/>
      <c r="K402" s="515"/>
      <c r="L402" s="515"/>
      <c r="M402" s="515"/>
      <c r="N402" s="515"/>
      <c r="O402" s="515"/>
      <c r="P402" s="515"/>
      <c r="Q402" s="515"/>
      <c r="R402" s="515"/>
      <c r="S402" s="551">
        <v>0.4</v>
      </c>
      <c r="T402" s="515"/>
      <c r="U402" s="515"/>
      <c r="V402" s="515"/>
      <c r="W402" s="515"/>
      <c r="X402" s="515"/>
      <c r="Y402" s="2">
        <f t="shared" si="163"/>
        <v>7152000</v>
      </c>
      <c r="Z402" s="2"/>
      <c r="AA402" s="8"/>
      <c r="AB402" s="8"/>
      <c r="AC402" s="8"/>
      <c r="AD402" s="8"/>
    </row>
    <row r="403" spans="1:30" ht="15.75">
      <c r="A403" s="668">
        <v>19</v>
      </c>
      <c r="B403" s="670" t="s">
        <v>565</v>
      </c>
      <c r="C403" s="517"/>
      <c r="D403" s="517"/>
      <c r="E403" s="515">
        <f t="shared" si="161"/>
        <v>0.4</v>
      </c>
      <c r="F403" s="551"/>
      <c r="G403" s="515">
        <f t="shared" si="162"/>
        <v>0.4</v>
      </c>
      <c r="H403" s="515"/>
      <c r="I403" s="515"/>
      <c r="J403" s="515"/>
      <c r="K403" s="515"/>
      <c r="L403" s="515"/>
      <c r="M403" s="515"/>
      <c r="N403" s="515"/>
      <c r="O403" s="515"/>
      <c r="P403" s="515"/>
      <c r="Q403" s="515"/>
      <c r="R403" s="515"/>
      <c r="S403" s="551">
        <v>0.4</v>
      </c>
      <c r="T403" s="515"/>
      <c r="U403" s="515"/>
      <c r="V403" s="515"/>
      <c r="W403" s="515"/>
      <c r="X403" s="515"/>
      <c r="Y403" s="2">
        <f t="shared" si="163"/>
        <v>7152000</v>
      </c>
      <c r="Z403" s="2"/>
      <c r="AA403" s="8"/>
      <c r="AB403" s="8"/>
      <c r="AC403" s="8"/>
      <c r="AD403" s="8"/>
    </row>
    <row r="404" spans="1:30" ht="15.75">
      <c r="A404" s="668">
        <v>20</v>
      </c>
      <c r="B404" s="670" t="s">
        <v>566</v>
      </c>
      <c r="C404" s="517"/>
      <c r="D404" s="517"/>
      <c r="E404" s="515">
        <f t="shared" si="161"/>
        <v>0.4</v>
      </c>
      <c r="F404" s="551"/>
      <c r="G404" s="515">
        <f t="shared" si="162"/>
        <v>0.4</v>
      </c>
      <c r="H404" s="515"/>
      <c r="I404" s="515"/>
      <c r="J404" s="515"/>
      <c r="K404" s="515"/>
      <c r="L404" s="515"/>
      <c r="M404" s="515"/>
      <c r="N404" s="515"/>
      <c r="O404" s="515"/>
      <c r="P404" s="515"/>
      <c r="Q404" s="515"/>
      <c r="R404" s="515"/>
      <c r="S404" s="551">
        <v>0.4</v>
      </c>
      <c r="T404" s="515"/>
      <c r="U404" s="515"/>
      <c r="V404" s="515"/>
      <c r="W404" s="515"/>
      <c r="X404" s="515"/>
      <c r="Y404" s="2">
        <f t="shared" si="163"/>
        <v>7152000</v>
      </c>
      <c r="Z404" s="2"/>
      <c r="AA404" s="8"/>
      <c r="AB404" s="8"/>
      <c r="AC404" s="8"/>
      <c r="AD404" s="8"/>
    </row>
    <row r="405" spans="1:30" ht="15.75">
      <c r="A405" s="668">
        <v>21</v>
      </c>
      <c r="B405" s="670" t="s">
        <v>567</v>
      </c>
      <c r="C405" s="517"/>
      <c r="D405" s="517"/>
      <c r="E405" s="515">
        <f t="shared" si="161"/>
        <v>0.4</v>
      </c>
      <c r="F405" s="551"/>
      <c r="G405" s="515">
        <f t="shared" si="162"/>
        <v>0.4</v>
      </c>
      <c r="H405" s="515"/>
      <c r="I405" s="515"/>
      <c r="J405" s="515"/>
      <c r="K405" s="515"/>
      <c r="L405" s="515"/>
      <c r="M405" s="515"/>
      <c r="N405" s="515"/>
      <c r="O405" s="515"/>
      <c r="P405" s="515"/>
      <c r="Q405" s="515"/>
      <c r="R405" s="515"/>
      <c r="S405" s="551">
        <v>0.4</v>
      </c>
      <c r="T405" s="515"/>
      <c r="U405" s="515"/>
      <c r="V405" s="515"/>
      <c r="W405" s="515"/>
      <c r="X405" s="515"/>
      <c r="Y405" s="2">
        <f t="shared" si="163"/>
        <v>7152000</v>
      </c>
      <c r="Z405" s="2"/>
      <c r="AA405" s="8"/>
      <c r="AB405" s="8"/>
      <c r="AC405" s="8"/>
      <c r="AD405" s="8"/>
    </row>
    <row r="406" spans="1:30" ht="15.75">
      <c r="A406" s="668">
        <v>22</v>
      </c>
      <c r="B406" s="670" t="s">
        <v>568</v>
      </c>
      <c r="C406" s="517"/>
      <c r="D406" s="517"/>
      <c r="E406" s="515">
        <f t="shared" si="161"/>
        <v>0.4</v>
      </c>
      <c r="F406" s="551"/>
      <c r="G406" s="515">
        <f t="shared" si="162"/>
        <v>0.4</v>
      </c>
      <c r="H406" s="515"/>
      <c r="I406" s="515"/>
      <c r="J406" s="515"/>
      <c r="K406" s="515"/>
      <c r="L406" s="515"/>
      <c r="M406" s="515"/>
      <c r="N406" s="515"/>
      <c r="O406" s="515"/>
      <c r="P406" s="515"/>
      <c r="Q406" s="515"/>
      <c r="R406" s="515"/>
      <c r="S406" s="551">
        <v>0.4</v>
      </c>
      <c r="T406" s="515"/>
      <c r="U406" s="515"/>
      <c r="V406" s="515"/>
      <c r="W406" s="515"/>
      <c r="X406" s="515"/>
      <c r="Y406" s="2">
        <f t="shared" si="163"/>
        <v>7152000</v>
      </c>
      <c r="Z406" s="2"/>
      <c r="AA406" s="8"/>
      <c r="AB406" s="8"/>
      <c r="AC406" s="8"/>
      <c r="AD406" s="8"/>
    </row>
    <row r="407" spans="1:30" ht="15.75">
      <c r="A407" s="668">
        <v>23</v>
      </c>
      <c r="B407" s="670" t="s">
        <v>50</v>
      </c>
      <c r="C407" s="517"/>
      <c r="D407" s="517"/>
      <c r="E407" s="515">
        <f>F407+G407+X407</f>
        <v>0.4</v>
      </c>
      <c r="F407" s="551"/>
      <c r="G407" s="515">
        <f>H407+I407+J407+K407+L407+M407+N407+O407+P407+Q407+R407+S407+T407+U407+W407</f>
        <v>0.4</v>
      </c>
      <c r="H407" s="515"/>
      <c r="I407" s="515"/>
      <c r="J407" s="515"/>
      <c r="K407" s="515"/>
      <c r="L407" s="515"/>
      <c r="M407" s="515"/>
      <c r="N407" s="515"/>
      <c r="O407" s="515"/>
      <c r="P407" s="515"/>
      <c r="Q407" s="515"/>
      <c r="R407" s="515"/>
      <c r="S407" s="551">
        <v>0.4</v>
      </c>
      <c r="T407" s="515"/>
      <c r="U407" s="515"/>
      <c r="V407" s="515"/>
      <c r="W407" s="515"/>
      <c r="X407" s="515"/>
      <c r="Y407" s="2">
        <f>E407*1490000*12</f>
        <v>7152000</v>
      </c>
      <c r="Z407" s="2"/>
      <c r="AA407" s="8"/>
      <c r="AB407" s="8"/>
      <c r="AC407" s="8"/>
      <c r="AD407" s="8"/>
    </row>
    <row r="408" spans="1:30" ht="15.75">
      <c r="A408" s="668">
        <v>24</v>
      </c>
      <c r="B408" s="670" t="s">
        <v>569</v>
      </c>
      <c r="C408" s="517"/>
      <c r="D408" s="517"/>
      <c r="E408" s="515">
        <f>F408+G408+X408</f>
        <v>0.4</v>
      </c>
      <c r="F408" s="551"/>
      <c r="G408" s="515">
        <f>H408+I408+J408+K408+L408+M408+N408+O408+P408+Q408+R408+S408+T408+U408+W408</f>
        <v>0.4</v>
      </c>
      <c r="H408" s="515"/>
      <c r="I408" s="515"/>
      <c r="J408" s="515"/>
      <c r="K408" s="515"/>
      <c r="L408" s="515"/>
      <c r="M408" s="515"/>
      <c r="N408" s="515"/>
      <c r="O408" s="515"/>
      <c r="P408" s="515"/>
      <c r="Q408" s="515"/>
      <c r="R408" s="515"/>
      <c r="S408" s="551">
        <v>0.4</v>
      </c>
      <c r="T408" s="515"/>
      <c r="U408" s="515"/>
      <c r="V408" s="515"/>
      <c r="W408" s="515"/>
      <c r="X408" s="515"/>
      <c r="Y408" s="2">
        <f>E408*1490000*12</f>
        <v>7152000</v>
      </c>
      <c r="Z408" s="2"/>
      <c r="AA408" s="8"/>
      <c r="AB408" s="8"/>
      <c r="AC408" s="8"/>
      <c r="AD408" s="8"/>
    </row>
    <row r="409" spans="1:30" ht="15.75">
      <c r="A409" s="668">
        <v>25</v>
      </c>
      <c r="B409" s="670" t="s">
        <v>570</v>
      </c>
      <c r="C409" s="517"/>
      <c r="D409" s="517"/>
      <c r="E409" s="515">
        <f>F409+G409+X409</f>
        <v>0.4</v>
      </c>
      <c r="F409" s="551"/>
      <c r="G409" s="515">
        <f>H409+I409+J409+K409+L409+M409+N409+O409+P409+Q409+R409+S409+T409+U409+W409</f>
        <v>0.4</v>
      </c>
      <c r="H409" s="515"/>
      <c r="I409" s="515"/>
      <c r="J409" s="515"/>
      <c r="K409" s="515"/>
      <c r="L409" s="515"/>
      <c r="M409" s="515"/>
      <c r="N409" s="515"/>
      <c r="O409" s="515"/>
      <c r="P409" s="515"/>
      <c r="Q409" s="515"/>
      <c r="R409" s="515"/>
      <c r="S409" s="551">
        <v>0.4</v>
      </c>
      <c r="T409" s="515"/>
      <c r="U409" s="515"/>
      <c r="V409" s="515"/>
      <c r="W409" s="515"/>
      <c r="X409" s="515"/>
      <c r="Y409" s="2">
        <f>E409*1490000*12</f>
        <v>7152000</v>
      </c>
      <c r="Z409" s="2"/>
      <c r="AA409" s="8"/>
      <c r="AB409" s="8"/>
      <c r="AC409" s="8"/>
      <c r="AD409" s="8"/>
    </row>
    <row r="410" spans="1:30" ht="15.75">
      <c r="A410" s="668">
        <v>26</v>
      </c>
      <c r="B410" s="670" t="s">
        <v>20</v>
      </c>
      <c r="C410" s="517"/>
      <c r="D410" s="517"/>
      <c r="E410" s="515">
        <f t="shared" si="161"/>
        <v>0.4</v>
      </c>
      <c r="F410" s="551"/>
      <c r="G410" s="515">
        <f t="shared" si="162"/>
        <v>0.4</v>
      </c>
      <c r="H410" s="515"/>
      <c r="I410" s="515"/>
      <c r="J410" s="515"/>
      <c r="K410" s="515"/>
      <c r="L410" s="515"/>
      <c r="M410" s="515"/>
      <c r="N410" s="515"/>
      <c r="O410" s="515"/>
      <c r="P410" s="515"/>
      <c r="Q410" s="515"/>
      <c r="R410" s="515"/>
      <c r="S410" s="551">
        <v>0.4</v>
      </c>
      <c r="T410" s="515"/>
      <c r="U410" s="515"/>
      <c r="V410" s="515"/>
      <c r="W410" s="515"/>
      <c r="X410" s="515"/>
      <c r="Y410" s="2">
        <f t="shared" si="163"/>
        <v>7152000</v>
      </c>
      <c r="Z410" s="2"/>
      <c r="AA410" s="8"/>
      <c r="AB410" s="8"/>
      <c r="AC410" s="8"/>
      <c r="AD410" s="8"/>
    </row>
    <row r="411" spans="1:30" ht="15.75">
      <c r="A411" s="668">
        <v>27</v>
      </c>
      <c r="B411" s="670" t="s">
        <v>571</v>
      </c>
      <c r="C411" s="517"/>
      <c r="D411" s="517"/>
      <c r="E411" s="515">
        <f t="shared" si="161"/>
        <v>0.4</v>
      </c>
      <c r="F411" s="551"/>
      <c r="G411" s="515">
        <f t="shared" si="162"/>
        <v>0.4</v>
      </c>
      <c r="H411" s="515"/>
      <c r="I411" s="515"/>
      <c r="J411" s="515"/>
      <c r="K411" s="515"/>
      <c r="L411" s="515"/>
      <c r="M411" s="515"/>
      <c r="N411" s="515"/>
      <c r="O411" s="515"/>
      <c r="P411" s="515"/>
      <c r="Q411" s="515"/>
      <c r="R411" s="515"/>
      <c r="S411" s="551">
        <v>0.4</v>
      </c>
      <c r="T411" s="515"/>
      <c r="U411" s="515"/>
      <c r="V411" s="515"/>
      <c r="W411" s="515"/>
      <c r="X411" s="515"/>
      <c r="Y411" s="2">
        <f t="shared" si="163"/>
        <v>7152000</v>
      </c>
      <c r="Z411" s="2"/>
      <c r="AA411" s="8"/>
      <c r="AB411" s="8"/>
      <c r="AC411" s="8"/>
      <c r="AD411" s="8"/>
    </row>
    <row r="412" spans="1:30" ht="15.75">
      <c r="A412" s="668">
        <v>28</v>
      </c>
      <c r="B412" s="670" t="s">
        <v>18</v>
      </c>
      <c r="C412" s="517"/>
      <c r="D412" s="517"/>
      <c r="E412" s="515">
        <f t="shared" si="161"/>
        <v>0.4</v>
      </c>
      <c r="F412" s="551"/>
      <c r="G412" s="515">
        <f t="shared" si="162"/>
        <v>0.4</v>
      </c>
      <c r="H412" s="515"/>
      <c r="I412" s="515"/>
      <c r="J412" s="515"/>
      <c r="K412" s="515"/>
      <c r="L412" s="515"/>
      <c r="M412" s="515"/>
      <c r="N412" s="515"/>
      <c r="O412" s="515"/>
      <c r="P412" s="515"/>
      <c r="Q412" s="515"/>
      <c r="R412" s="515"/>
      <c r="S412" s="551">
        <v>0.4</v>
      </c>
      <c r="T412" s="515"/>
      <c r="U412" s="515"/>
      <c r="V412" s="515"/>
      <c r="W412" s="515"/>
      <c r="X412" s="515"/>
      <c r="Y412" s="2">
        <f t="shared" si="163"/>
        <v>7152000</v>
      </c>
      <c r="Z412" s="2"/>
      <c r="AA412" s="8"/>
      <c r="AB412" s="8"/>
      <c r="AC412" s="8"/>
      <c r="AD412" s="8"/>
    </row>
    <row r="413" spans="1:30" ht="15.75">
      <c r="A413" s="668">
        <v>29</v>
      </c>
      <c r="B413" s="670" t="s">
        <v>46</v>
      </c>
      <c r="C413" s="517"/>
      <c r="D413" s="517"/>
      <c r="E413" s="515">
        <f t="shared" si="161"/>
        <v>0.4</v>
      </c>
      <c r="F413" s="551"/>
      <c r="G413" s="515">
        <f t="shared" si="162"/>
        <v>0.4</v>
      </c>
      <c r="H413" s="515"/>
      <c r="I413" s="515"/>
      <c r="J413" s="515"/>
      <c r="K413" s="515"/>
      <c r="L413" s="515"/>
      <c r="M413" s="515"/>
      <c r="N413" s="515"/>
      <c r="O413" s="515"/>
      <c r="P413" s="515"/>
      <c r="Q413" s="515"/>
      <c r="R413" s="515"/>
      <c r="S413" s="551">
        <v>0.4</v>
      </c>
      <c r="T413" s="515"/>
      <c r="U413" s="515"/>
      <c r="V413" s="515"/>
      <c r="W413" s="515"/>
      <c r="X413" s="515"/>
      <c r="Y413" s="2">
        <f t="shared" si="163"/>
        <v>7152000</v>
      </c>
      <c r="Z413" s="2"/>
      <c r="AA413" s="8"/>
      <c r="AB413" s="8"/>
      <c r="AC413" s="8"/>
      <c r="AD413" s="8"/>
    </row>
    <row r="414" spans="1:30" ht="15.75">
      <c r="A414" s="668">
        <v>30</v>
      </c>
      <c r="B414" s="670" t="s">
        <v>572</v>
      </c>
      <c r="C414" s="517"/>
      <c r="D414" s="517"/>
      <c r="E414" s="515">
        <f t="shared" si="161"/>
        <v>0.4</v>
      </c>
      <c r="F414" s="551"/>
      <c r="G414" s="515">
        <f t="shared" si="162"/>
        <v>0.4</v>
      </c>
      <c r="H414" s="515"/>
      <c r="I414" s="515"/>
      <c r="J414" s="515"/>
      <c r="K414" s="515"/>
      <c r="L414" s="515"/>
      <c r="M414" s="515"/>
      <c r="N414" s="515"/>
      <c r="O414" s="515"/>
      <c r="P414" s="515"/>
      <c r="Q414" s="515"/>
      <c r="R414" s="515"/>
      <c r="S414" s="551">
        <v>0.4</v>
      </c>
      <c r="T414" s="515"/>
      <c r="U414" s="515"/>
      <c r="V414" s="515"/>
      <c r="W414" s="515"/>
      <c r="X414" s="515"/>
      <c r="Y414" s="2">
        <f t="shared" si="163"/>
        <v>7152000</v>
      </c>
      <c r="Z414" s="2"/>
      <c r="AA414" s="8"/>
      <c r="AB414" s="8"/>
      <c r="AC414" s="8"/>
      <c r="AD414" s="8"/>
    </row>
    <row r="415" spans="1:30" ht="15">
      <c r="A415" s="665" t="s">
        <v>8</v>
      </c>
      <c r="B415" s="666" t="s">
        <v>45</v>
      </c>
      <c r="C415" s="518"/>
      <c r="D415" s="518"/>
      <c r="E415" s="552">
        <f aca="true" t="shared" si="164" ref="E415:U415">E416+E448+E457+E467</f>
        <v>11.600000000000005</v>
      </c>
      <c r="F415" s="552">
        <f t="shared" si="164"/>
        <v>0</v>
      </c>
      <c r="G415" s="552">
        <f t="shared" si="164"/>
        <v>11.600000000000005</v>
      </c>
      <c r="H415" s="552">
        <f t="shared" si="164"/>
        <v>0</v>
      </c>
      <c r="I415" s="552">
        <f t="shared" si="164"/>
        <v>0</v>
      </c>
      <c r="J415" s="552">
        <f t="shared" si="164"/>
        <v>0</v>
      </c>
      <c r="K415" s="552">
        <f t="shared" si="164"/>
        <v>0</v>
      </c>
      <c r="L415" s="552">
        <f t="shared" si="164"/>
        <v>0</v>
      </c>
      <c r="M415" s="552">
        <f t="shared" si="164"/>
        <v>0</v>
      </c>
      <c r="N415" s="552">
        <f t="shared" si="164"/>
        <v>0</v>
      </c>
      <c r="O415" s="552">
        <f t="shared" si="164"/>
        <v>0</v>
      </c>
      <c r="P415" s="552">
        <f t="shared" si="164"/>
        <v>0</v>
      </c>
      <c r="Q415" s="552">
        <f t="shared" si="164"/>
        <v>0</v>
      </c>
      <c r="R415" s="552">
        <f t="shared" si="164"/>
        <v>11.600000000000005</v>
      </c>
      <c r="S415" s="552">
        <f t="shared" si="164"/>
        <v>0</v>
      </c>
      <c r="T415" s="552">
        <f t="shared" si="164"/>
        <v>0</v>
      </c>
      <c r="U415" s="552">
        <f t="shared" si="164"/>
        <v>0</v>
      </c>
      <c r="V415" s="552"/>
      <c r="W415" s="552">
        <f>W416+W448+W457+W467</f>
        <v>0</v>
      </c>
      <c r="X415" s="552">
        <f>X416+X448+X457+X467</f>
        <v>0</v>
      </c>
      <c r="Y415" s="563">
        <f>Y416+Y448+Y457+Y467</f>
        <v>207408000</v>
      </c>
      <c r="Z415" s="563"/>
      <c r="AA415" s="5"/>
      <c r="AB415" s="5"/>
      <c r="AC415" s="5"/>
      <c r="AD415" s="5"/>
    </row>
    <row r="416" spans="1:30" ht="15">
      <c r="A416" s="665">
        <v>1</v>
      </c>
      <c r="B416" s="666" t="s">
        <v>44</v>
      </c>
      <c r="C416" s="518"/>
      <c r="D416" s="518"/>
      <c r="E416" s="552">
        <f>SUM(E417:E445)</f>
        <v>11.600000000000005</v>
      </c>
      <c r="F416" s="552">
        <f aca="true" t="shared" si="165" ref="F416:X416">SUM(F417:F445)</f>
        <v>0</v>
      </c>
      <c r="G416" s="552">
        <f t="shared" si="165"/>
        <v>11.600000000000005</v>
      </c>
      <c r="H416" s="552">
        <f t="shared" si="165"/>
        <v>0</v>
      </c>
      <c r="I416" s="552">
        <f t="shared" si="165"/>
        <v>0</v>
      </c>
      <c r="J416" s="552">
        <f t="shared" si="165"/>
        <v>0</v>
      </c>
      <c r="K416" s="552">
        <f t="shared" si="165"/>
        <v>0</v>
      </c>
      <c r="L416" s="552">
        <f t="shared" si="165"/>
        <v>0</v>
      </c>
      <c r="M416" s="552">
        <f t="shared" si="165"/>
        <v>0</v>
      </c>
      <c r="N416" s="552">
        <f t="shared" si="165"/>
        <v>0</v>
      </c>
      <c r="O416" s="552">
        <f t="shared" si="165"/>
        <v>0</v>
      </c>
      <c r="P416" s="552">
        <f t="shared" si="165"/>
        <v>0</v>
      </c>
      <c r="Q416" s="552">
        <f t="shared" si="165"/>
        <v>0</v>
      </c>
      <c r="R416" s="552">
        <f t="shared" si="165"/>
        <v>11.600000000000005</v>
      </c>
      <c r="S416" s="552">
        <f t="shared" si="165"/>
        <v>0</v>
      </c>
      <c r="T416" s="552">
        <f t="shared" si="165"/>
        <v>0</v>
      </c>
      <c r="U416" s="552">
        <f t="shared" si="165"/>
        <v>0</v>
      </c>
      <c r="V416" s="552">
        <f t="shared" si="165"/>
        <v>0</v>
      </c>
      <c r="W416" s="552">
        <f t="shared" si="165"/>
        <v>0</v>
      </c>
      <c r="X416" s="552">
        <f t="shared" si="165"/>
        <v>0</v>
      </c>
      <c r="Y416" s="552">
        <f>SUM(Y417:Y445)</f>
        <v>207408000</v>
      </c>
      <c r="Z416" s="563"/>
      <c r="AA416" s="5"/>
      <c r="AB416" s="5"/>
      <c r="AC416" s="5"/>
      <c r="AD416" s="5"/>
    </row>
    <row r="417" spans="1:30" ht="15.75">
      <c r="A417" s="671">
        <v>1</v>
      </c>
      <c r="B417" s="672" t="s">
        <v>36</v>
      </c>
      <c r="C417" s="518"/>
      <c r="D417" s="518"/>
      <c r="E417" s="515">
        <f aca="true" t="shared" si="166" ref="E417:E445">F417+G417+X417</f>
        <v>0.4</v>
      </c>
      <c r="F417" s="647"/>
      <c r="G417" s="515">
        <f aca="true" t="shared" si="167" ref="G417:G445">H417+I417+J417+K417+L417+M417+N417+O417+P417+Q417+R417+S417+T417+U417+W417</f>
        <v>0.4</v>
      </c>
      <c r="H417" s="552"/>
      <c r="I417" s="552"/>
      <c r="J417" s="552"/>
      <c r="K417" s="552"/>
      <c r="L417" s="552"/>
      <c r="M417" s="552"/>
      <c r="N417" s="552"/>
      <c r="O417" s="552"/>
      <c r="P417" s="552"/>
      <c r="Q417" s="552"/>
      <c r="R417" s="515">
        <v>0.4</v>
      </c>
      <c r="S417" s="647"/>
      <c r="T417" s="552"/>
      <c r="U417" s="552"/>
      <c r="V417" s="552"/>
      <c r="W417" s="552"/>
      <c r="X417" s="552"/>
      <c r="Y417" s="2">
        <f aca="true" t="shared" si="168" ref="Y417:Y446">E417*1490000*12</f>
        <v>7152000</v>
      </c>
      <c r="Z417" s="563"/>
      <c r="AA417" s="5"/>
      <c r="AB417" s="5"/>
      <c r="AC417" s="5"/>
      <c r="AD417" s="5"/>
    </row>
    <row r="418" spans="1:30" ht="15.75">
      <c r="A418" s="673">
        <v>2</v>
      </c>
      <c r="B418" s="672" t="s">
        <v>43</v>
      </c>
      <c r="C418" s="518"/>
      <c r="D418" s="518"/>
      <c r="E418" s="515">
        <f t="shared" si="166"/>
        <v>0.4</v>
      </c>
      <c r="F418" s="647"/>
      <c r="G418" s="515">
        <f t="shared" si="167"/>
        <v>0.4</v>
      </c>
      <c r="H418" s="552"/>
      <c r="I418" s="552"/>
      <c r="J418" s="552"/>
      <c r="K418" s="552"/>
      <c r="L418" s="552"/>
      <c r="M418" s="552"/>
      <c r="N418" s="552"/>
      <c r="O418" s="552"/>
      <c r="P418" s="552"/>
      <c r="Q418" s="552"/>
      <c r="R418" s="515">
        <v>0.4</v>
      </c>
      <c r="S418" s="647"/>
      <c r="T418" s="552"/>
      <c r="U418" s="552"/>
      <c r="V418" s="552"/>
      <c r="W418" s="552"/>
      <c r="X418" s="552"/>
      <c r="Y418" s="2">
        <f t="shared" si="168"/>
        <v>7152000</v>
      </c>
      <c r="Z418" s="563"/>
      <c r="AA418" s="5"/>
      <c r="AB418" s="5"/>
      <c r="AC418" s="5"/>
      <c r="AD418" s="5"/>
    </row>
    <row r="419" spans="1:30" ht="15.75">
      <c r="A419" s="671">
        <v>3</v>
      </c>
      <c r="B419" s="672" t="s">
        <v>573</v>
      </c>
      <c r="C419" s="518"/>
      <c r="D419" s="518"/>
      <c r="E419" s="515">
        <f t="shared" si="166"/>
        <v>0.4</v>
      </c>
      <c r="F419" s="647"/>
      <c r="G419" s="515">
        <f t="shared" si="167"/>
        <v>0.4</v>
      </c>
      <c r="H419" s="552"/>
      <c r="I419" s="552"/>
      <c r="J419" s="552"/>
      <c r="K419" s="552"/>
      <c r="L419" s="552"/>
      <c r="M419" s="552"/>
      <c r="N419" s="552"/>
      <c r="O419" s="552"/>
      <c r="P419" s="552"/>
      <c r="Q419" s="552"/>
      <c r="R419" s="515">
        <v>0.4</v>
      </c>
      <c r="S419" s="647"/>
      <c r="T419" s="552"/>
      <c r="U419" s="552"/>
      <c r="V419" s="552"/>
      <c r="W419" s="552"/>
      <c r="X419" s="552"/>
      <c r="Y419" s="2">
        <f t="shared" si="168"/>
        <v>7152000</v>
      </c>
      <c r="Z419" s="563"/>
      <c r="AA419" s="5"/>
      <c r="AB419" s="5"/>
      <c r="AC419" s="5"/>
      <c r="AD419" s="5"/>
    </row>
    <row r="420" spans="1:30" ht="15.75">
      <c r="A420" s="673">
        <v>4</v>
      </c>
      <c r="B420" s="672" t="s">
        <v>40</v>
      </c>
      <c r="C420" s="518"/>
      <c r="D420" s="518"/>
      <c r="E420" s="515">
        <f t="shared" si="166"/>
        <v>0.4</v>
      </c>
      <c r="F420" s="647"/>
      <c r="G420" s="515">
        <f t="shared" si="167"/>
        <v>0.4</v>
      </c>
      <c r="H420" s="552"/>
      <c r="I420" s="552"/>
      <c r="J420" s="552"/>
      <c r="K420" s="552"/>
      <c r="L420" s="552"/>
      <c r="M420" s="552"/>
      <c r="N420" s="552"/>
      <c r="O420" s="552"/>
      <c r="P420" s="552"/>
      <c r="Q420" s="552"/>
      <c r="R420" s="515">
        <v>0.4</v>
      </c>
      <c r="S420" s="647"/>
      <c r="T420" s="552"/>
      <c r="U420" s="552"/>
      <c r="V420" s="552"/>
      <c r="W420" s="552"/>
      <c r="X420" s="552"/>
      <c r="Y420" s="2">
        <f t="shared" si="168"/>
        <v>7152000</v>
      </c>
      <c r="Z420" s="563"/>
      <c r="AA420" s="5"/>
      <c r="AB420" s="5"/>
      <c r="AC420" s="5"/>
      <c r="AD420" s="5"/>
    </row>
    <row r="421" spans="1:30" ht="15.75">
      <c r="A421" s="671">
        <v>5</v>
      </c>
      <c r="B421" s="672" t="s">
        <v>39</v>
      </c>
      <c r="C421" s="518"/>
      <c r="D421" s="518"/>
      <c r="E421" s="515">
        <f t="shared" si="166"/>
        <v>0.4</v>
      </c>
      <c r="F421" s="647"/>
      <c r="G421" s="515">
        <f t="shared" si="167"/>
        <v>0.4</v>
      </c>
      <c r="H421" s="552"/>
      <c r="I421" s="552"/>
      <c r="J421" s="552"/>
      <c r="K421" s="552"/>
      <c r="L421" s="552"/>
      <c r="M421" s="552"/>
      <c r="N421" s="552"/>
      <c r="O421" s="552"/>
      <c r="P421" s="552"/>
      <c r="Q421" s="552"/>
      <c r="R421" s="515">
        <v>0.4</v>
      </c>
      <c r="S421" s="647"/>
      <c r="T421" s="552"/>
      <c r="U421" s="552"/>
      <c r="V421" s="552"/>
      <c r="W421" s="552"/>
      <c r="X421" s="552"/>
      <c r="Y421" s="2">
        <f t="shared" si="168"/>
        <v>7152000</v>
      </c>
      <c r="Z421" s="563"/>
      <c r="AA421" s="5"/>
      <c r="AB421" s="5"/>
      <c r="AC421" s="5"/>
      <c r="AD421" s="5"/>
    </row>
    <row r="422" spans="1:30" ht="15.75">
      <c r="A422" s="673">
        <v>6</v>
      </c>
      <c r="B422" s="672" t="s">
        <v>38</v>
      </c>
      <c r="C422" s="518"/>
      <c r="D422" s="518"/>
      <c r="E422" s="515">
        <f t="shared" si="166"/>
        <v>0.4</v>
      </c>
      <c r="F422" s="647"/>
      <c r="G422" s="515">
        <f t="shared" si="167"/>
        <v>0.4</v>
      </c>
      <c r="H422" s="552"/>
      <c r="I422" s="552"/>
      <c r="J422" s="552"/>
      <c r="K422" s="552"/>
      <c r="L422" s="552"/>
      <c r="M422" s="552"/>
      <c r="N422" s="552"/>
      <c r="O422" s="552"/>
      <c r="P422" s="552"/>
      <c r="Q422" s="552"/>
      <c r="R422" s="515">
        <v>0.4</v>
      </c>
      <c r="S422" s="647"/>
      <c r="T422" s="552"/>
      <c r="U422" s="552"/>
      <c r="V422" s="552"/>
      <c r="W422" s="552"/>
      <c r="X422" s="552"/>
      <c r="Y422" s="2">
        <f t="shared" si="168"/>
        <v>7152000</v>
      </c>
      <c r="Z422" s="563"/>
      <c r="AA422" s="5"/>
      <c r="AB422" s="5"/>
      <c r="AC422" s="5"/>
      <c r="AD422" s="5"/>
    </row>
    <row r="423" spans="1:30" ht="15.75">
      <c r="A423" s="671">
        <v>7</v>
      </c>
      <c r="B423" s="672" t="s">
        <v>279</v>
      </c>
      <c r="C423" s="518"/>
      <c r="D423" s="518"/>
      <c r="E423" s="515">
        <f t="shared" si="166"/>
        <v>0.4</v>
      </c>
      <c r="F423" s="647"/>
      <c r="G423" s="515">
        <f t="shared" si="167"/>
        <v>0.4</v>
      </c>
      <c r="H423" s="552"/>
      <c r="I423" s="552"/>
      <c r="J423" s="552"/>
      <c r="K423" s="552"/>
      <c r="L423" s="552"/>
      <c r="M423" s="552"/>
      <c r="N423" s="552"/>
      <c r="O423" s="552"/>
      <c r="P423" s="552"/>
      <c r="Q423" s="552"/>
      <c r="R423" s="515">
        <v>0.4</v>
      </c>
      <c r="S423" s="647"/>
      <c r="T423" s="552"/>
      <c r="U423" s="552"/>
      <c r="V423" s="552"/>
      <c r="W423" s="552"/>
      <c r="X423" s="552"/>
      <c r="Y423" s="2">
        <f t="shared" si="168"/>
        <v>7152000</v>
      </c>
      <c r="Z423" s="563"/>
      <c r="AA423" s="5"/>
      <c r="AB423" s="5"/>
      <c r="AC423" s="5"/>
      <c r="AD423" s="5"/>
    </row>
    <row r="424" spans="1:30" ht="15.75">
      <c r="A424" s="673">
        <v>8</v>
      </c>
      <c r="B424" s="672" t="s">
        <v>26</v>
      </c>
      <c r="C424" s="518"/>
      <c r="D424" s="518"/>
      <c r="E424" s="515">
        <f t="shared" si="166"/>
        <v>0.4</v>
      </c>
      <c r="F424" s="647"/>
      <c r="G424" s="515">
        <f t="shared" si="167"/>
        <v>0.4</v>
      </c>
      <c r="H424" s="552"/>
      <c r="I424" s="552"/>
      <c r="J424" s="552"/>
      <c r="K424" s="552"/>
      <c r="L424" s="552"/>
      <c r="M424" s="552"/>
      <c r="N424" s="552"/>
      <c r="O424" s="552"/>
      <c r="P424" s="552"/>
      <c r="Q424" s="552"/>
      <c r="R424" s="515">
        <v>0.4</v>
      </c>
      <c r="S424" s="647"/>
      <c r="T424" s="552"/>
      <c r="U424" s="552"/>
      <c r="V424" s="552"/>
      <c r="W424" s="552"/>
      <c r="X424" s="552"/>
      <c r="Y424" s="2">
        <f t="shared" si="168"/>
        <v>7152000</v>
      </c>
      <c r="Z424" s="563"/>
      <c r="AA424" s="5"/>
      <c r="AB424" s="5"/>
      <c r="AC424" s="5"/>
      <c r="AD424" s="5"/>
    </row>
    <row r="425" spans="1:30" ht="15.75">
      <c r="A425" s="671">
        <v>9</v>
      </c>
      <c r="B425" s="672" t="s">
        <v>149</v>
      </c>
      <c r="C425" s="518"/>
      <c r="D425" s="518"/>
      <c r="E425" s="515">
        <f t="shared" si="166"/>
        <v>0.4</v>
      </c>
      <c r="F425" s="647"/>
      <c r="G425" s="515">
        <f t="shared" si="167"/>
        <v>0.4</v>
      </c>
      <c r="H425" s="552"/>
      <c r="I425" s="552"/>
      <c r="J425" s="552"/>
      <c r="K425" s="552"/>
      <c r="L425" s="552"/>
      <c r="M425" s="552"/>
      <c r="N425" s="552"/>
      <c r="O425" s="552"/>
      <c r="P425" s="552"/>
      <c r="Q425" s="552"/>
      <c r="R425" s="515">
        <v>0.4</v>
      </c>
      <c r="S425" s="647"/>
      <c r="T425" s="552"/>
      <c r="U425" s="552"/>
      <c r="V425" s="552"/>
      <c r="W425" s="552"/>
      <c r="X425" s="552"/>
      <c r="Y425" s="2">
        <f t="shared" si="168"/>
        <v>7152000</v>
      </c>
      <c r="Z425" s="563"/>
      <c r="AA425" s="5"/>
      <c r="AB425" s="5"/>
      <c r="AC425" s="5"/>
      <c r="AD425" s="5"/>
    </row>
    <row r="426" spans="1:30" ht="15.75">
      <c r="A426" s="673">
        <v>10</v>
      </c>
      <c r="B426" s="672" t="s">
        <v>35</v>
      </c>
      <c r="C426" s="518"/>
      <c r="D426" s="518"/>
      <c r="E426" s="515">
        <f t="shared" si="166"/>
        <v>0.4</v>
      </c>
      <c r="F426" s="647"/>
      <c r="G426" s="515">
        <f t="shared" si="167"/>
        <v>0.4</v>
      </c>
      <c r="H426" s="552"/>
      <c r="I426" s="552"/>
      <c r="J426" s="552"/>
      <c r="K426" s="552"/>
      <c r="L426" s="552"/>
      <c r="M426" s="552"/>
      <c r="N426" s="552"/>
      <c r="O426" s="552"/>
      <c r="P426" s="552"/>
      <c r="Q426" s="552"/>
      <c r="R426" s="515">
        <v>0.4</v>
      </c>
      <c r="S426" s="647"/>
      <c r="T426" s="552"/>
      <c r="U426" s="552"/>
      <c r="V426" s="552"/>
      <c r="W426" s="552"/>
      <c r="X426" s="552"/>
      <c r="Y426" s="2">
        <f t="shared" si="168"/>
        <v>7152000</v>
      </c>
      <c r="Z426" s="563"/>
      <c r="AA426" s="5"/>
      <c r="AB426" s="5"/>
      <c r="AC426" s="5"/>
      <c r="AD426" s="5"/>
    </row>
    <row r="427" spans="1:30" ht="15.75">
      <c r="A427" s="671">
        <v>11</v>
      </c>
      <c r="B427" s="672" t="s">
        <v>34</v>
      </c>
      <c r="C427" s="518"/>
      <c r="D427" s="518"/>
      <c r="E427" s="515">
        <f t="shared" si="166"/>
        <v>0.4</v>
      </c>
      <c r="F427" s="647"/>
      <c r="G427" s="515">
        <f t="shared" si="167"/>
        <v>0.4</v>
      </c>
      <c r="H427" s="552"/>
      <c r="I427" s="552"/>
      <c r="J427" s="552"/>
      <c r="K427" s="552"/>
      <c r="L427" s="552"/>
      <c r="M427" s="552"/>
      <c r="N427" s="552"/>
      <c r="O427" s="552"/>
      <c r="P427" s="552"/>
      <c r="Q427" s="552"/>
      <c r="R427" s="515">
        <v>0.4</v>
      </c>
      <c r="S427" s="647"/>
      <c r="T427" s="552"/>
      <c r="U427" s="552"/>
      <c r="V427" s="552"/>
      <c r="W427" s="552"/>
      <c r="X427" s="552"/>
      <c r="Y427" s="2">
        <f t="shared" si="168"/>
        <v>7152000</v>
      </c>
      <c r="Z427" s="563"/>
      <c r="AA427" s="5"/>
      <c r="AB427" s="5"/>
      <c r="AC427" s="5"/>
      <c r="AD427" s="5"/>
    </row>
    <row r="428" spans="1:30" ht="15.75">
      <c r="A428" s="673">
        <v>12</v>
      </c>
      <c r="B428" s="672" t="s">
        <v>33</v>
      </c>
      <c r="C428" s="518"/>
      <c r="D428" s="518"/>
      <c r="E428" s="515">
        <f t="shared" si="166"/>
        <v>0.4</v>
      </c>
      <c r="F428" s="647"/>
      <c r="G428" s="515">
        <f t="shared" si="167"/>
        <v>0.4</v>
      </c>
      <c r="H428" s="552"/>
      <c r="I428" s="552"/>
      <c r="J428" s="552"/>
      <c r="K428" s="552"/>
      <c r="L428" s="552"/>
      <c r="M428" s="552"/>
      <c r="N428" s="552"/>
      <c r="O428" s="552"/>
      <c r="P428" s="552"/>
      <c r="Q428" s="552"/>
      <c r="R428" s="515">
        <v>0.4</v>
      </c>
      <c r="S428" s="647"/>
      <c r="T428" s="552"/>
      <c r="U428" s="552"/>
      <c r="V428" s="552"/>
      <c r="W428" s="552"/>
      <c r="X428" s="552"/>
      <c r="Y428" s="2">
        <f t="shared" si="168"/>
        <v>7152000</v>
      </c>
      <c r="Z428" s="563"/>
      <c r="AA428" s="5"/>
      <c r="AB428" s="5"/>
      <c r="AC428" s="5"/>
      <c r="AD428" s="5"/>
    </row>
    <row r="429" spans="1:30" ht="15.75">
      <c r="A429" s="671">
        <v>13</v>
      </c>
      <c r="B429" s="672" t="s">
        <v>32</v>
      </c>
      <c r="C429" s="518"/>
      <c r="D429" s="518"/>
      <c r="E429" s="515">
        <f t="shared" si="166"/>
        <v>0.4</v>
      </c>
      <c r="F429" s="647"/>
      <c r="G429" s="515">
        <f t="shared" si="167"/>
        <v>0.4</v>
      </c>
      <c r="H429" s="552"/>
      <c r="I429" s="552"/>
      <c r="J429" s="552"/>
      <c r="K429" s="552"/>
      <c r="L429" s="552"/>
      <c r="M429" s="552"/>
      <c r="N429" s="552"/>
      <c r="O429" s="552"/>
      <c r="P429" s="552"/>
      <c r="Q429" s="552"/>
      <c r="R429" s="515">
        <v>0.4</v>
      </c>
      <c r="S429" s="647"/>
      <c r="T429" s="552"/>
      <c r="U429" s="552"/>
      <c r="V429" s="552"/>
      <c r="W429" s="552"/>
      <c r="X429" s="552"/>
      <c r="Y429" s="2">
        <f t="shared" si="168"/>
        <v>7152000</v>
      </c>
      <c r="Z429" s="563"/>
      <c r="AA429" s="5"/>
      <c r="AB429" s="5"/>
      <c r="AC429" s="5"/>
      <c r="AD429" s="5"/>
    </row>
    <row r="430" spans="1:30" ht="15.75">
      <c r="A430" s="673">
        <v>14</v>
      </c>
      <c r="B430" s="672" t="s">
        <v>31</v>
      </c>
      <c r="C430" s="518"/>
      <c r="D430" s="518"/>
      <c r="E430" s="515">
        <f t="shared" si="166"/>
        <v>0.4</v>
      </c>
      <c r="F430" s="647"/>
      <c r="G430" s="515">
        <f t="shared" si="167"/>
        <v>0.4</v>
      </c>
      <c r="H430" s="552"/>
      <c r="I430" s="552"/>
      <c r="J430" s="552"/>
      <c r="K430" s="552"/>
      <c r="L430" s="552"/>
      <c r="M430" s="552"/>
      <c r="N430" s="552"/>
      <c r="O430" s="552"/>
      <c r="P430" s="552"/>
      <c r="Q430" s="552"/>
      <c r="R430" s="515">
        <v>0.4</v>
      </c>
      <c r="S430" s="647"/>
      <c r="T430" s="552"/>
      <c r="U430" s="552"/>
      <c r="V430" s="552"/>
      <c r="W430" s="552"/>
      <c r="X430" s="552"/>
      <c r="Y430" s="2">
        <f t="shared" si="168"/>
        <v>7152000</v>
      </c>
      <c r="Z430" s="563"/>
      <c r="AA430" s="5"/>
      <c r="AB430" s="5"/>
      <c r="AC430" s="5"/>
      <c r="AD430" s="5"/>
    </row>
    <row r="431" spans="1:30" ht="15.75">
      <c r="A431" s="671">
        <v>15</v>
      </c>
      <c r="B431" s="672" t="s">
        <v>30</v>
      </c>
      <c r="C431" s="518"/>
      <c r="D431" s="518"/>
      <c r="E431" s="515">
        <f t="shared" si="166"/>
        <v>0.4</v>
      </c>
      <c r="F431" s="647"/>
      <c r="G431" s="515">
        <f t="shared" si="167"/>
        <v>0.4</v>
      </c>
      <c r="H431" s="552"/>
      <c r="I431" s="552"/>
      <c r="J431" s="552"/>
      <c r="K431" s="552"/>
      <c r="L431" s="552"/>
      <c r="M431" s="552"/>
      <c r="N431" s="552"/>
      <c r="O431" s="552"/>
      <c r="P431" s="552"/>
      <c r="Q431" s="552"/>
      <c r="R431" s="515">
        <v>0.4</v>
      </c>
      <c r="S431" s="647"/>
      <c r="T431" s="552"/>
      <c r="U431" s="552"/>
      <c r="V431" s="552"/>
      <c r="W431" s="552"/>
      <c r="X431" s="552"/>
      <c r="Y431" s="2">
        <f t="shared" si="168"/>
        <v>7152000</v>
      </c>
      <c r="Z431" s="563"/>
      <c r="AA431" s="5"/>
      <c r="AB431" s="5"/>
      <c r="AC431" s="5"/>
      <c r="AD431" s="5"/>
    </row>
    <row r="432" spans="1:30" ht="15.75">
      <c r="A432" s="673">
        <v>16</v>
      </c>
      <c r="B432" s="672" t="s">
        <v>27</v>
      </c>
      <c r="C432" s="518"/>
      <c r="D432" s="518"/>
      <c r="E432" s="515">
        <f t="shared" si="166"/>
        <v>0.4</v>
      </c>
      <c r="F432" s="647"/>
      <c r="G432" s="515">
        <f t="shared" si="167"/>
        <v>0.4</v>
      </c>
      <c r="H432" s="552"/>
      <c r="I432" s="552"/>
      <c r="J432" s="552"/>
      <c r="K432" s="552"/>
      <c r="L432" s="552"/>
      <c r="M432" s="552"/>
      <c r="N432" s="552"/>
      <c r="O432" s="552"/>
      <c r="P432" s="552"/>
      <c r="Q432" s="552"/>
      <c r="R432" s="515">
        <v>0.4</v>
      </c>
      <c r="S432" s="647"/>
      <c r="T432" s="552"/>
      <c r="U432" s="552"/>
      <c r="V432" s="552"/>
      <c r="W432" s="552"/>
      <c r="X432" s="552"/>
      <c r="Y432" s="2">
        <f t="shared" si="168"/>
        <v>7152000</v>
      </c>
      <c r="Z432" s="563"/>
      <c r="AA432" s="5"/>
      <c r="AB432" s="5"/>
      <c r="AC432" s="5"/>
      <c r="AD432" s="5"/>
    </row>
    <row r="433" spans="1:30" ht="15.75">
      <c r="A433" s="671">
        <v>17</v>
      </c>
      <c r="B433" s="672" t="s">
        <v>25</v>
      </c>
      <c r="C433" s="518"/>
      <c r="D433" s="518"/>
      <c r="E433" s="515">
        <f t="shared" si="166"/>
        <v>0.4</v>
      </c>
      <c r="F433" s="647"/>
      <c r="G433" s="515">
        <f t="shared" si="167"/>
        <v>0.4</v>
      </c>
      <c r="H433" s="552"/>
      <c r="I433" s="552"/>
      <c r="J433" s="552"/>
      <c r="K433" s="552"/>
      <c r="L433" s="552"/>
      <c r="M433" s="552"/>
      <c r="N433" s="552"/>
      <c r="O433" s="552"/>
      <c r="P433" s="552"/>
      <c r="Q433" s="552"/>
      <c r="R433" s="515">
        <v>0.4</v>
      </c>
      <c r="S433" s="647"/>
      <c r="T433" s="552"/>
      <c r="U433" s="552"/>
      <c r="V433" s="552"/>
      <c r="W433" s="552"/>
      <c r="X433" s="552"/>
      <c r="Y433" s="2">
        <f t="shared" si="168"/>
        <v>7152000</v>
      </c>
      <c r="Z433" s="563"/>
      <c r="AA433" s="5"/>
      <c r="AB433" s="5"/>
      <c r="AC433" s="5"/>
      <c r="AD433" s="5"/>
    </row>
    <row r="434" spans="1:30" ht="15.75">
      <c r="A434" s="673">
        <v>18</v>
      </c>
      <c r="B434" s="672" t="s">
        <v>24</v>
      </c>
      <c r="C434" s="518"/>
      <c r="D434" s="518"/>
      <c r="E434" s="515">
        <f t="shared" si="166"/>
        <v>0.4</v>
      </c>
      <c r="F434" s="647"/>
      <c r="G434" s="515">
        <f t="shared" si="167"/>
        <v>0.4</v>
      </c>
      <c r="H434" s="552"/>
      <c r="I434" s="552"/>
      <c r="J434" s="552"/>
      <c r="K434" s="552"/>
      <c r="L434" s="552"/>
      <c r="M434" s="552"/>
      <c r="N434" s="552"/>
      <c r="O434" s="552"/>
      <c r="P434" s="552"/>
      <c r="Q434" s="552"/>
      <c r="R434" s="515">
        <v>0.4</v>
      </c>
      <c r="S434" s="647"/>
      <c r="T434" s="552"/>
      <c r="U434" s="552"/>
      <c r="V434" s="552"/>
      <c r="W434" s="552"/>
      <c r="X434" s="552"/>
      <c r="Y434" s="2">
        <f t="shared" si="168"/>
        <v>7152000</v>
      </c>
      <c r="Z434" s="563"/>
      <c r="AA434" s="5"/>
      <c r="AB434" s="5"/>
      <c r="AC434" s="5"/>
      <c r="AD434" s="5"/>
    </row>
    <row r="435" spans="1:30" ht="15.75">
      <c r="A435" s="671">
        <v>19</v>
      </c>
      <c r="B435" s="672" t="s">
        <v>23</v>
      </c>
      <c r="C435" s="518"/>
      <c r="D435" s="518"/>
      <c r="E435" s="515">
        <f t="shared" si="166"/>
        <v>0.4</v>
      </c>
      <c r="F435" s="647"/>
      <c r="G435" s="515">
        <f t="shared" si="167"/>
        <v>0.4</v>
      </c>
      <c r="H435" s="552"/>
      <c r="I435" s="552"/>
      <c r="J435" s="552"/>
      <c r="K435" s="552"/>
      <c r="L435" s="552"/>
      <c r="M435" s="552"/>
      <c r="N435" s="552"/>
      <c r="O435" s="552"/>
      <c r="P435" s="552"/>
      <c r="Q435" s="552"/>
      <c r="R435" s="515">
        <v>0.4</v>
      </c>
      <c r="S435" s="647"/>
      <c r="T435" s="552"/>
      <c r="U435" s="552"/>
      <c r="V435" s="552"/>
      <c r="W435" s="552"/>
      <c r="X435" s="552"/>
      <c r="Y435" s="2">
        <f t="shared" si="168"/>
        <v>7152000</v>
      </c>
      <c r="Z435" s="563"/>
      <c r="AA435" s="5"/>
      <c r="AB435" s="5"/>
      <c r="AC435" s="5"/>
      <c r="AD435" s="5"/>
    </row>
    <row r="436" spans="1:30" ht="15.75">
      <c r="A436" s="673">
        <v>20</v>
      </c>
      <c r="B436" s="672" t="s">
        <v>21</v>
      </c>
      <c r="C436" s="518"/>
      <c r="D436" s="518"/>
      <c r="E436" s="515">
        <f t="shared" si="166"/>
        <v>0.4</v>
      </c>
      <c r="F436" s="647"/>
      <c r="G436" s="515">
        <f t="shared" si="167"/>
        <v>0.4</v>
      </c>
      <c r="H436" s="552"/>
      <c r="I436" s="552"/>
      <c r="J436" s="552"/>
      <c r="K436" s="552"/>
      <c r="L436" s="552"/>
      <c r="M436" s="552"/>
      <c r="N436" s="552"/>
      <c r="O436" s="552"/>
      <c r="P436" s="552"/>
      <c r="Q436" s="552"/>
      <c r="R436" s="515">
        <v>0.4</v>
      </c>
      <c r="S436" s="647"/>
      <c r="T436" s="552"/>
      <c r="U436" s="552"/>
      <c r="V436" s="552"/>
      <c r="W436" s="552"/>
      <c r="X436" s="552"/>
      <c r="Y436" s="2">
        <f t="shared" si="168"/>
        <v>7152000</v>
      </c>
      <c r="Z436" s="563"/>
      <c r="AA436" s="5"/>
      <c r="AB436" s="5"/>
      <c r="AC436" s="5"/>
      <c r="AD436" s="5"/>
    </row>
    <row r="437" spans="1:30" ht="15.75">
      <c r="A437" s="671">
        <v>21</v>
      </c>
      <c r="B437" s="672" t="s">
        <v>19</v>
      </c>
      <c r="C437" s="518"/>
      <c r="D437" s="518"/>
      <c r="E437" s="515">
        <f t="shared" si="166"/>
        <v>0.4</v>
      </c>
      <c r="F437" s="647"/>
      <c r="G437" s="515">
        <f t="shared" si="167"/>
        <v>0.4</v>
      </c>
      <c r="H437" s="552"/>
      <c r="I437" s="552"/>
      <c r="J437" s="552"/>
      <c r="K437" s="552"/>
      <c r="L437" s="552"/>
      <c r="M437" s="552"/>
      <c r="N437" s="552"/>
      <c r="O437" s="552"/>
      <c r="P437" s="552"/>
      <c r="Q437" s="552"/>
      <c r="R437" s="515">
        <v>0.4</v>
      </c>
      <c r="S437" s="647"/>
      <c r="T437" s="552"/>
      <c r="U437" s="552"/>
      <c r="V437" s="552"/>
      <c r="W437" s="552"/>
      <c r="X437" s="552"/>
      <c r="Y437" s="2">
        <f t="shared" si="168"/>
        <v>7152000</v>
      </c>
      <c r="Z437" s="563"/>
      <c r="AA437" s="5"/>
      <c r="AB437" s="5"/>
      <c r="AC437" s="5"/>
      <c r="AD437" s="5"/>
    </row>
    <row r="438" spans="1:30" ht="15.75">
      <c r="A438" s="673">
        <v>22</v>
      </c>
      <c r="B438" s="672" t="s">
        <v>18</v>
      </c>
      <c r="C438" s="518"/>
      <c r="D438" s="518"/>
      <c r="E438" s="515">
        <f t="shared" si="166"/>
        <v>0.4</v>
      </c>
      <c r="F438" s="647"/>
      <c r="G438" s="515">
        <f t="shared" si="167"/>
        <v>0.4</v>
      </c>
      <c r="H438" s="552"/>
      <c r="I438" s="552"/>
      <c r="J438" s="552"/>
      <c r="K438" s="552"/>
      <c r="L438" s="552"/>
      <c r="M438" s="552"/>
      <c r="N438" s="552"/>
      <c r="O438" s="552"/>
      <c r="P438" s="552"/>
      <c r="Q438" s="552"/>
      <c r="R438" s="515">
        <v>0.4</v>
      </c>
      <c r="S438" s="647"/>
      <c r="T438" s="552"/>
      <c r="U438" s="552"/>
      <c r="V438" s="552"/>
      <c r="W438" s="552"/>
      <c r="X438" s="552"/>
      <c r="Y438" s="2">
        <f t="shared" si="168"/>
        <v>7152000</v>
      </c>
      <c r="Z438" s="563"/>
      <c r="AA438" s="5"/>
      <c r="AB438" s="5"/>
      <c r="AC438" s="5"/>
      <c r="AD438" s="5"/>
    </row>
    <row r="439" spans="1:30" ht="15.75">
      <c r="A439" s="671">
        <v>23</v>
      </c>
      <c r="B439" s="672" t="s">
        <v>17</v>
      </c>
      <c r="C439" s="518"/>
      <c r="D439" s="518"/>
      <c r="E439" s="515">
        <f t="shared" si="166"/>
        <v>0.4</v>
      </c>
      <c r="F439" s="647"/>
      <c r="G439" s="515">
        <f t="shared" si="167"/>
        <v>0.4</v>
      </c>
      <c r="H439" s="552"/>
      <c r="I439" s="552"/>
      <c r="J439" s="552"/>
      <c r="K439" s="552"/>
      <c r="L439" s="552"/>
      <c r="M439" s="552"/>
      <c r="N439" s="552"/>
      <c r="O439" s="552"/>
      <c r="P439" s="552"/>
      <c r="Q439" s="552"/>
      <c r="R439" s="515">
        <v>0.4</v>
      </c>
      <c r="S439" s="647"/>
      <c r="T439" s="552"/>
      <c r="U439" s="552"/>
      <c r="V439" s="552"/>
      <c r="W439" s="552"/>
      <c r="X439" s="552"/>
      <c r="Y439" s="2">
        <f t="shared" si="168"/>
        <v>7152000</v>
      </c>
      <c r="Z439" s="563"/>
      <c r="AA439" s="5"/>
      <c r="AB439" s="5"/>
      <c r="AC439" s="5"/>
      <c r="AD439" s="5"/>
    </row>
    <row r="440" spans="1:30" ht="15.75">
      <c r="A440" s="673">
        <v>24</v>
      </c>
      <c r="B440" s="672" t="s">
        <v>20</v>
      </c>
      <c r="C440" s="518"/>
      <c r="D440" s="518"/>
      <c r="E440" s="515">
        <f t="shared" si="166"/>
        <v>0.4</v>
      </c>
      <c r="F440" s="647"/>
      <c r="G440" s="515">
        <f t="shared" si="167"/>
        <v>0.4</v>
      </c>
      <c r="H440" s="552"/>
      <c r="I440" s="552"/>
      <c r="J440" s="552"/>
      <c r="K440" s="552"/>
      <c r="L440" s="552"/>
      <c r="M440" s="552"/>
      <c r="N440" s="552"/>
      <c r="O440" s="552"/>
      <c r="P440" s="552"/>
      <c r="Q440" s="552"/>
      <c r="R440" s="515">
        <v>0.4</v>
      </c>
      <c r="S440" s="647"/>
      <c r="T440" s="552"/>
      <c r="U440" s="552"/>
      <c r="V440" s="552"/>
      <c r="W440" s="552"/>
      <c r="X440" s="552"/>
      <c r="Y440" s="2">
        <f t="shared" si="168"/>
        <v>7152000</v>
      </c>
      <c r="Z440" s="563"/>
      <c r="AA440" s="5"/>
      <c r="AB440" s="5"/>
      <c r="AC440" s="5"/>
      <c r="AD440" s="5"/>
    </row>
    <row r="441" spans="1:30" ht="15.75">
      <c r="A441" s="671">
        <v>25</v>
      </c>
      <c r="B441" s="672" t="s">
        <v>28</v>
      </c>
      <c r="C441" s="518"/>
      <c r="D441" s="518"/>
      <c r="E441" s="515">
        <f t="shared" si="166"/>
        <v>0.4</v>
      </c>
      <c r="F441" s="647"/>
      <c r="G441" s="515">
        <f t="shared" si="167"/>
        <v>0.4</v>
      </c>
      <c r="H441" s="552"/>
      <c r="I441" s="552"/>
      <c r="J441" s="552"/>
      <c r="K441" s="552"/>
      <c r="L441" s="552"/>
      <c r="M441" s="552"/>
      <c r="N441" s="552"/>
      <c r="O441" s="552"/>
      <c r="P441" s="552"/>
      <c r="Q441" s="552"/>
      <c r="R441" s="515">
        <v>0.4</v>
      </c>
      <c r="S441" s="647"/>
      <c r="T441" s="552"/>
      <c r="U441" s="552"/>
      <c r="V441" s="552"/>
      <c r="W441" s="552"/>
      <c r="X441" s="552"/>
      <c r="Y441" s="2">
        <f t="shared" si="168"/>
        <v>7152000</v>
      </c>
      <c r="Z441" s="563"/>
      <c r="AA441" s="5"/>
      <c r="AB441" s="5"/>
      <c r="AC441" s="5"/>
      <c r="AD441" s="5"/>
    </row>
    <row r="442" spans="1:30" ht="15.75">
      <c r="A442" s="673">
        <v>26</v>
      </c>
      <c r="B442" s="672" t="s">
        <v>22</v>
      </c>
      <c r="C442" s="518"/>
      <c r="D442" s="518"/>
      <c r="E442" s="515">
        <f>F442+G442+X442</f>
        <v>0.4</v>
      </c>
      <c r="F442" s="647"/>
      <c r="G442" s="515">
        <f>H442+I442+J442+K442+L442+M442+N442+O442+P442+Q442+R442+S442+T442+U442+W442</f>
        <v>0.4</v>
      </c>
      <c r="H442" s="552"/>
      <c r="I442" s="552"/>
      <c r="J442" s="552"/>
      <c r="K442" s="552"/>
      <c r="L442" s="552"/>
      <c r="M442" s="552"/>
      <c r="N442" s="552"/>
      <c r="O442" s="552"/>
      <c r="P442" s="552"/>
      <c r="Q442" s="552"/>
      <c r="R442" s="515">
        <v>0.4</v>
      </c>
      <c r="S442" s="647"/>
      <c r="T442" s="552"/>
      <c r="U442" s="552"/>
      <c r="V442" s="552"/>
      <c r="W442" s="552"/>
      <c r="X442" s="552"/>
      <c r="Y442" s="2">
        <f>E442*1490000*12</f>
        <v>7152000</v>
      </c>
      <c r="Z442" s="563"/>
      <c r="AA442" s="5"/>
      <c r="AB442" s="5"/>
      <c r="AC442" s="5"/>
      <c r="AD442" s="5"/>
    </row>
    <row r="443" spans="1:30" ht="15.75">
      <c r="A443" s="671">
        <v>27</v>
      </c>
      <c r="B443" s="672" t="s">
        <v>574</v>
      </c>
      <c r="C443" s="518"/>
      <c r="D443" s="518"/>
      <c r="E443" s="515">
        <f>F443+G443+X443</f>
        <v>0.4</v>
      </c>
      <c r="F443" s="647"/>
      <c r="G443" s="515">
        <f>H443+I443+J443+K443+L443+M443+N443+O443+P443+Q443+R443+S443+T443+U443+W443</f>
        <v>0.4</v>
      </c>
      <c r="H443" s="552"/>
      <c r="I443" s="552"/>
      <c r="J443" s="552"/>
      <c r="K443" s="552"/>
      <c r="L443" s="552"/>
      <c r="M443" s="552"/>
      <c r="N443" s="552"/>
      <c r="O443" s="552"/>
      <c r="P443" s="552"/>
      <c r="Q443" s="552"/>
      <c r="R443" s="515">
        <v>0.4</v>
      </c>
      <c r="S443" s="647"/>
      <c r="T443" s="552"/>
      <c r="U443" s="552"/>
      <c r="V443" s="552"/>
      <c r="W443" s="552"/>
      <c r="X443" s="552"/>
      <c r="Y443" s="2">
        <f>E443*1490000*12</f>
        <v>7152000</v>
      </c>
      <c r="Z443" s="563"/>
      <c r="AA443" s="5"/>
      <c r="AB443" s="5"/>
      <c r="AC443" s="5"/>
      <c r="AD443" s="5"/>
    </row>
    <row r="444" spans="1:30" ht="15.75">
      <c r="A444" s="673">
        <v>28</v>
      </c>
      <c r="B444" s="672" t="s">
        <v>256</v>
      </c>
      <c r="C444" s="518"/>
      <c r="D444" s="518"/>
      <c r="E444" s="515">
        <f t="shared" si="166"/>
        <v>0.4</v>
      </c>
      <c r="F444" s="647"/>
      <c r="G444" s="515">
        <f t="shared" si="167"/>
        <v>0.4</v>
      </c>
      <c r="H444" s="552"/>
      <c r="I444" s="552"/>
      <c r="J444" s="552"/>
      <c r="K444" s="552"/>
      <c r="L444" s="552"/>
      <c r="M444" s="552"/>
      <c r="N444" s="552"/>
      <c r="O444" s="552"/>
      <c r="P444" s="552"/>
      <c r="Q444" s="552"/>
      <c r="R444" s="515">
        <v>0.4</v>
      </c>
      <c r="S444" s="647"/>
      <c r="T444" s="552"/>
      <c r="U444" s="552"/>
      <c r="V444" s="552"/>
      <c r="W444" s="552"/>
      <c r="X444" s="552"/>
      <c r="Y444" s="2">
        <f t="shared" si="168"/>
        <v>7152000</v>
      </c>
      <c r="Z444" s="563"/>
      <c r="AA444" s="5"/>
      <c r="AB444" s="5"/>
      <c r="AC444" s="5"/>
      <c r="AD444" s="5"/>
    </row>
    <row r="445" spans="1:30" ht="15.75">
      <c r="A445" s="671">
        <v>29</v>
      </c>
      <c r="B445" s="672" t="s">
        <v>569</v>
      </c>
      <c r="C445" s="518"/>
      <c r="D445" s="518"/>
      <c r="E445" s="515">
        <f t="shared" si="166"/>
        <v>0.4</v>
      </c>
      <c r="F445" s="647"/>
      <c r="G445" s="515">
        <f t="shared" si="167"/>
        <v>0.4</v>
      </c>
      <c r="H445" s="552"/>
      <c r="I445" s="552"/>
      <c r="J445" s="552"/>
      <c r="K445" s="552"/>
      <c r="L445" s="552"/>
      <c r="M445" s="552"/>
      <c r="N445" s="552"/>
      <c r="O445" s="552"/>
      <c r="P445" s="552"/>
      <c r="Q445" s="552"/>
      <c r="R445" s="515">
        <v>0.4</v>
      </c>
      <c r="S445" s="647"/>
      <c r="T445" s="552"/>
      <c r="U445" s="552"/>
      <c r="V445" s="552"/>
      <c r="W445" s="552"/>
      <c r="X445" s="552"/>
      <c r="Y445" s="2">
        <f t="shared" si="168"/>
        <v>7152000</v>
      </c>
      <c r="Z445" s="563"/>
      <c r="AA445" s="5"/>
      <c r="AB445" s="5"/>
      <c r="AC445" s="5"/>
      <c r="AD445" s="5"/>
    </row>
    <row r="446" spans="1:30" ht="15">
      <c r="A446" s="665"/>
      <c r="B446" s="666"/>
      <c r="C446" s="518"/>
      <c r="D446" s="518"/>
      <c r="E446" s="552"/>
      <c r="F446" s="647"/>
      <c r="G446" s="552"/>
      <c r="H446" s="552"/>
      <c r="I446" s="552"/>
      <c r="J446" s="552"/>
      <c r="K446" s="552"/>
      <c r="L446" s="552"/>
      <c r="M446" s="552"/>
      <c r="N446" s="552"/>
      <c r="O446" s="552"/>
      <c r="P446" s="552"/>
      <c r="Q446" s="552"/>
      <c r="R446" s="552"/>
      <c r="S446" s="647"/>
      <c r="T446" s="552"/>
      <c r="U446" s="552"/>
      <c r="V446" s="552"/>
      <c r="W446" s="552"/>
      <c r="X446" s="563"/>
      <c r="Y446" s="2">
        <f t="shared" si="168"/>
        <v>0</v>
      </c>
      <c r="Z446" s="563"/>
      <c r="AA446" s="5"/>
      <c r="AB446" s="5"/>
      <c r="AC446" s="5"/>
      <c r="AD446" s="5"/>
    </row>
    <row r="447" spans="1:30" ht="15">
      <c r="A447" s="4"/>
      <c r="B447" s="3"/>
      <c r="C447" s="515"/>
      <c r="D447" s="515"/>
      <c r="E447" s="592"/>
      <c r="F447" s="551"/>
      <c r="G447" s="515"/>
      <c r="H447" s="515"/>
      <c r="I447" s="515"/>
      <c r="J447" s="515"/>
      <c r="K447" s="515"/>
      <c r="L447" s="515"/>
      <c r="M447" s="515"/>
      <c r="N447" s="515"/>
      <c r="O447" s="592"/>
      <c r="P447" s="515"/>
      <c r="Q447" s="515"/>
      <c r="R447" s="515"/>
      <c r="S447" s="551"/>
      <c r="T447" s="515"/>
      <c r="U447" s="592"/>
      <c r="V447" s="592"/>
      <c r="W447" s="592"/>
      <c r="X447" s="515"/>
      <c r="Y447" s="2"/>
      <c r="Z447" s="2"/>
      <c r="AA447" s="1"/>
      <c r="AB447" s="1"/>
      <c r="AC447" s="1"/>
      <c r="AD447" s="1"/>
    </row>
  </sheetData>
  <sheetProtection/>
  <mergeCells count="16">
    <mergeCell ref="E8:E9"/>
    <mergeCell ref="F8:F9"/>
    <mergeCell ref="G8:G9"/>
    <mergeCell ref="H8:X8"/>
    <mergeCell ref="AA312:AA315"/>
    <mergeCell ref="AA364:AA379"/>
    <mergeCell ref="A2:S2"/>
    <mergeCell ref="A4:Z4"/>
    <mergeCell ref="A5:Z5"/>
    <mergeCell ref="A7:A9"/>
    <mergeCell ref="B7:B9"/>
    <mergeCell ref="C7:C9"/>
    <mergeCell ref="D7:D9"/>
    <mergeCell ref="E7:X7"/>
    <mergeCell ref="Y7:Y9"/>
    <mergeCell ref="Z7:Z9"/>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E18:E20"/>
  <sheetViews>
    <sheetView zoomScalePageLayoutView="0" workbookViewId="0" topLeftCell="A1">
      <selection activeCell="K14" sqref="K14"/>
    </sheetView>
  </sheetViews>
  <sheetFormatPr defaultColWidth="9.140625" defaultRowHeight="15"/>
  <cols>
    <col min="5" max="5" width="10.57421875" style="0" bestFit="1" customWidth="1"/>
  </cols>
  <sheetData>
    <row r="18" ht="15">
      <c r="E18" s="689">
        <f>21682+8761</f>
        <v>30443</v>
      </c>
    </row>
    <row r="19" ht="15">
      <c r="E19">
        <f>7596+8761</f>
        <v>16357</v>
      </c>
    </row>
    <row r="20" ht="15">
      <c r="E20" s="674">
        <f>E19/E18</f>
        <v>0.5372992149262557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FShop</cp:lastModifiedBy>
  <cp:lastPrinted>2022-06-20T03:26:53Z</cp:lastPrinted>
  <dcterms:created xsi:type="dcterms:W3CDTF">2020-08-13T08:34:12Z</dcterms:created>
  <dcterms:modified xsi:type="dcterms:W3CDTF">2022-07-12T09:51:39Z</dcterms:modified>
  <cp:category/>
  <cp:version/>
  <cp:contentType/>
  <cp:contentStatus/>
</cp:coreProperties>
</file>